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Monthly_Schedule" sheetId="3" r:id="rId3"/>
    <sheet name="Dashboard" sheetId="4" r:id="rId4"/>
    <sheet name="Bonus_Tips" sheetId="5" r:id="rId5"/>
  </sheets>
  <definedNames>
    <definedName name="ExtraPayment">Inputs!$B$11</definedName>
    <definedName name="MastercardBalance">Inputs!$B$7</definedName>
    <definedName name="MastercardIntroAPR">Inputs!$C$7</definedName>
    <definedName name="MastercardMinPayment">Inputs!$F$7</definedName>
    <definedName name="MastercardPromoMonths">Inputs!$E$7</definedName>
    <definedName name="MastercardResetAPR">Inputs!$D$7</definedName>
    <definedName name="PromoBalance">Inputs!$B$8</definedName>
    <definedName name="PromoIntroAPR">Inputs!$C$8</definedName>
    <definedName name="PromoMinPayment">Inputs!$F$8</definedName>
    <definedName name="PromoPromoMonths">Inputs!$E$8</definedName>
    <definedName name="PromoResetAPR">Inputs!$D$8</definedName>
    <definedName name="StartDate">Inputs!$B$10</definedName>
    <definedName name="StoreBalance">Inputs!$B$5</definedName>
    <definedName name="StoreIntroAPR">Inputs!$C$5</definedName>
    <definedName name="StoreMinPayment">Inputs!$F$5</definedName>
    <definedName name="StorePromoMonths">Inputs!$E$5</definedName>
    <definedName name="StoreResetAPR">Inputs!$D$5</definedName>
    <definedName name="TotalDebt">Inputs!$B$9</definedName>
    <definedName name="TotalMinimums">Inputs!$F$9</definedName>
    <definedName name="VisaBalance">Inputs!$B$6</definedName>
    <definedName name="VisaIntroAPR">Inputs!$C$6</definedName>
    <definedName name="VisaMinPayment">Inputs!$F$6</definedName>
    <definedName name="VisaPromoMonths">Inputs!$E$6</definedName>
    <definedName name="VisaResetAPR">Inputs!$D$6</definedName>
  </definedNames>
  <calcPr calcId="124519" fullCalcOnLoad="1"/>
</workbook>
</file>

<file path=xl/sharedStrings.xml><?xml version="1.0" encoding="utf-8"?>
<sst xmlns="http://schemas.openxmlformats.org/spreadsheetml/2006/main" count="114" uniqueCount="87">
  <si>
    <t>Credit Card Payoff Dashboard</t>
  </si>
  <si>
    <t>Website</t>
  </si>
  <si>
    <t>Debt Payoff Spreadsheet</t>
  </si>
  <si>
    <t>Who It Helps</t>
  </si>
  <si>
    <t>A card-only payoff dashboard for readers who need one working order before a promo APR or transfer decision changes the picture.</t>
  </si>
  <si>
    <t>About This Template</t>
  </si>
  <si>
    <t>The sample plan uses four revolving balances, one expiring 0% promo card, and a fixed $900 monthly outlay.</t>
  </si>
  <si>
    <t>The dashboard shows the live payoff month, total interest, first card closure, and the promo-card balance that still remains when the intro rate ends.</t>
  </si>
  <si>
    <t>Use this file when your problem is not whether to track debt in a spreadsheet, but which credit card should absorb the next extra dollar.</t>
  </si>
  <si>
    <t>How to Use</t>
  </si>
  <si>
    <t>1. Open the Inputs sheet to review the exact card balances, APRs, promo months, and minimum payments used in the article.</t>
  </si>
  <si>
    <t>2. Use the Dashboard sheet for the quick answer on payoff month, total interest, and the promo balance still exposed at the reset date.</t>
  </si>
  <si>
    <t>3. Review the Monthly_Schedule sheet when you want to audit the month-by-month path behind any dashboard number.</t>
  </si>
  <si>
    <t>4. Change any yellow input cell and let Excel recalculate the full card payoff path before you act on a balance-transfer offer or promo deadline.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</si>
  <si>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</si>
  <si>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</si>
  <si>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</si>
  <si>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</si>
  <si>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</si>
  <si>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</si>
  <si>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</si>
  <si>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</si>
  <si>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Credit Card Payoff Dashboard - DebtPayoffSpreadsheet.org</t>
  </si>
  <si>
    <t>Card Inputs</t>
  </si>
  <si>
    <t>Card Name</t>
  </si>
  <si>
    <t>Balance</t>
  </si>
  <si>
    <t>Intro APR</t>
  </si>
  <si>
    <t>Reset APR</t>
  </si>
  <si>
    <t>Promo Months</t>
  </si>
  <si>
    <t>Min Payment</t>
  </si>
  <si>
    <t>Card Type</t>
  </si>
  <si>
    <t>Scenario Note</t>
  </si>
  <si>
    <t>Store Card</t>
  </si>
  <si>
    <t>Credit card</t>
  </si>
  <si>
    <t>Smallest balance and highest APR</t>
  </si>
  <si>
    <t>Travel Rewards Visa</t>
  </si>
  <si>
    <t>Largest costly balance</t>
  </si>
  <si>
    <t>Everyday Mastercard</t>
  </si>
  <si>
    <t>Mid-rate revolving balance</t>
  </si>
  <si>
    <t>Promo Purchase Card</t>
  </si>
  <si>
    <t>0% intro APR for 12 months, then 28.99%</t>
  </si>
  <si>
    <t>Total</t>
  </si>
  <si>
    <t>Start Month</t>
  </si>
  <si>
    <t>Extra Monthly Payment</t>
  </si>
  <si>
    <t>Monthly Outlay</t>
  </si>
  <si>
    <t>The working order is Store Card, Travel Rewards Visa, Promo Purchase Card after the reset date, then Everyday Mastercard. That order comes from the article scenario rather than from a generic card template.</t>
  </si>
  <si>
    <t>Begin</t>
  </si>
  <si>
    <t>Interest</t>
  </si>
  <si>
    <t>Minimum</t>
  </si>
  <si>
    <t>Extra</t>
  </si>
  <si>
    <t>End</t>
  </si>
  <si>
    <t>Monthly Schedule</t>
  </si>
  <si>
    <t>Timeline</t>
  </si>
  <si>
    <t>Month</t>
  </si>
  <si>
    <t>Period</t>
  </si>
  <si>
    <t>Extra Pool</t>
  </si>
  <si>
    <t>Interest Total</t>
  </si>
  <si>
    <t>Balance Total</t>
  </si>
  <si>
    <t>Credit Card Debt Payoff Snapshot</t>
  </si>
  <si>
    <t>Starting Card Debt</t>
  </si>
  <si>
    <t>Minimum Payments</t>
  </si>
  <si>
    <t>Extra Payment</t>
  </si>
  <si>
    <t>Debt-Free Month</t>
  </si>
  <si>
    <t>Months To Payoff</t>
  </si>
  <si>
    <t>Total Interest</t>
  </si>
  <si>
    <t>Promo Balance At Reset</t>
  </si>
  <si>
    <t>Card Status</t>
  </si>
  <si>
    <t>Card</t>
  </si>
  <si>
    <t>Highest APR</t>
  </si>
  <si>
    <t>Paid Off</t>
  </si>
  <si>
    <t>Interest Before Payoff</t>
  </si>
  <si>
    <t>Status</t>
  </si>
  <si>
    <t>Year-One Checkpoint</t>
  </si>
  <si>
    <t>Interest In First 12 Months</t>
  </si>
  <si>
    <t>Balance After 12 Months</t>
  </si>
  <si>
    <t>First Card Paid</t>
  </si>
  <si>
    <t>November 2026</t>
  </si>
  <si>
    <t>Promo Card Paid</t>
  </si>
  <si>
    <t>April 2028</t>
  </si>
  <si>
    <t>Credit Card Payoff Dashboard Tips</t>
  </si>
  <si>
    <t>Why this card stack works</t>
  </si>
  <si>
    <t>- The highest-APR card is also the smallest balance, so the plan gets an early closure without paying extra for it.</t>
  </si>
  <si>
    <t>- The promo card stays harmless only while the 0% window lasts. The reset month still needs its own check before you trust the order for another year.</t>
  </si>
  <si>
    <t>What to watch in real life</t>
  </si>
  <si>
    <t>- A new purchase on any focus card changes the payoff order faster than a spreadsheet layout changes.</t>
  </si>
  <si>
    <t>- If the minimums stop fitting the budget, the right move is not a different order. It is a same-day call to the issuer before fees or a higher APR make the plan worse.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</si>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</sst>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Credit Card Balance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Total Balance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'Monthly_Schedule'!$B$5:$B$34</c:f>
              <c:strCache>
                <c:ptCount val="30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</c:strCache>
            </c:strRef>
          </c:cat>
          <c:val>
            <c:numRef>
              <c:f>'Monthly_Schedule'!$Y$5:$Y$34</c:f>
              <c:numCache>
                <c:formatCode>General</c:formatCode>
                <c:ptCount val="30"/>
                <c:pt idx="0">
                  <c:v>19278.45</c:v>
                </c:pt>
                <c:pt idx="1">
                  <c:v>18746.46</c:v>
                </c:pt>
                <c:pt idx="2">
                  <c:v>18203.77</c:v>
                </c:pt>
                <c:pt idx="3">
                  <c:v>17650.1</c:v>
                </c:pt>
                <c:pt idx="4">
                  <c:v>17085.17</c:v>
                </c:pt>
                <c:pt idx="5">
                  <c:v>16508.68</c:v>
                </c:pt>
                <c:pt idx="6">
                  <c:v>15920.33</c:v>
                </c:pt>
                <c:pt idx="7">
                  <c:v>15319.83</c:v>
                </c:pt>
                <c:pt idx="8">
                  <c:v>14707.03</c:v>
                </c:pt>
                <c:pt idx="9">
                  <c:v>14082.08</c:v>
                </c:pt>
                <c:pt idx="10">
                  <c:v>13444.69</c:v>
                </c:pt>
                <c:pt idx="11">
                  <c:v>12794.54</c:v>
                </c:pt>
                <c:pt idx="12">
                  <c:v>12190.71</c:v>
                </c:pt>
                <c:pt idx="13">
                  <c:v>11572.11</c:v>
                </c:pt>
                <c:pt idx="14">
                  <c:v>10938.4</c:v>
                </c:pt>
                <c:pt idx="15">
                  <c:v>10289.21</c:v>
                </c:pt>
                <c:pt idx="16">
                  <c:v>9624.15</c:v>
                </c:pt>
                <c:pt idx="17">
                  <c:v>8942.83</c:v>
                </c:pt>
                <c:pt idx="18">
                  <c:v>8244.86</c:v>
                </c:pt>
                <c:pt idx="19">
                  <c:v>7529.83</c:v>
                </c:pt>
                <c:pt idx="20">
                  <c:v>6797.32</c:v>
                </c:pt>
                <c:pt idx="21">
                  <c:v>6046.9</c:v>
                </c:pt>
                <c:pt idx="22">
                  <c:v>5278.29</c:v>
                </c:pt>
                <c:pt idx="23">
                  <c:v>4491.4</c:v>
                </c:pt>
                <c:pt idx="24">
                  <c:v>3685.79</c:v>
                </c:pt>
                <c:pt idx="25">
                  <c:v>2862.55</c:v>
                </c:pt>
                <c:pt idx="26">
                  <c:v>2022.16</c:v>
                </c:pt>
                <c:pt idx="27">
                  <c:v>1164.27</c:v>
                </c:pt>
                <c:pt idx="28">
                  <c:v>288.52</c:v>
                </c:pt>
                <c:pt idx="29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14</xdr:col>
      <xdr:colOff>352425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credit-card-payoff-dashboard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&amp;LCredit Card Payoff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4.7109375" customWidth="1"/>
    <col min="2" max="2" width="14.7109375" customWidth="1"/>
    <col min="3" max="5" width="12.7109375" customWidth="1"/>
    <col min="6" max="6" width="14.7109375" customWidth="1"/>
    <col min="7" max="7" width="20.7109375" customWidth="1"/>
    <col min="8" max="8" width="34.7109375" customWidth="1"/>
  </cols>
  <sheetData>
    <row r="1" spans="1:8" ht="16" customHeight="1">
      <c r="A1" s="6" t="s">
        <v>22</v>
      </c>
      <c r="B1" s="6"/>
      <c r="C1" s="6"/>
      <c r="D1" s="6"/>
      <c r="E1" s="6"/>
      <c r="F1" s="6"/>
      <c r="G1" s="6"/>
      <c r="H1" s="6"/>
    </row>
    <row r="2" spans="1:8">
      <c r="A2" s="1" t="s">
        <v>23</v>
      </c>
      <c r="B2" s="1"/>
      <c r="C2" s="1"/>
      <c r="D2" s="1"/>
      <c r="E2" s="1"/>
      <c r="F2" s="1"/>
      <c r="G2" s="1"/>
      <c r="H2" s="1"/>
    </row>
    <row r="4" spans="1:8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</row>
    <row r="5" spans="1:8">
      <c r="A5" s="8" t="s">
        <v>32</v>
      </c>
      <c r="B5" s="9">
        <v>2650</v>
      </c>
      <c r="C5" s="10">
        <v>0.3199</v>
      </c>
      <c r="D5" s="10">
        <v>0.3199</v>
      </c>
      <c r="E5" s="11">
        <v>0</v>
      </c>
      <c r="F5" s="9">
        <v>80</v>
      </c>
      <c r="G5" s="3" t="s">
        <v>33</v>
      </c>
      <c r="H5" s="4" t="s">
        <v>34</v>
      </c>
    </row>
    <row r="6" spans="1:8">
      <c r="A6" s="8" t="s">
        <v>35</v>
      </c>
      <c r="B6" s="9">
        <v>7400</v>
      </c>
      <c r="C6" s="10">
        <v>0.2999</v>
      </c>
      <c r="D6" s="10">
        <v>0.2999</v>
      </c>
      <c r="E6" s="11">
        <v>0</v>
      </c>
      <c r="F6" s="9">
        <v>222</v>
      </c>
      <c r="G6" s="3" t="s">
        <v>33</v>
      </c>
      <c r="H6" s="4" t="s">
        <v>36</v>
      </c>
    </row>
    <row r="7" spans="1:8">
      <c r="A7" s="8" t="s">
        <v>37</v>
      </c>
      <c r="B7" s="9">
        <v>5900</v>
      </c>
      <c r="C7" s="10">
        <v>0.2499</v>
      </c>
      <c r="D7" s="10">
        <v>0.2499</v>
      </c>
      <c r="E7" s="11">
        <v>0</v>
      </c>
      <c r="F7" s="9">
        <v>177</v>
      </c>
      <c r="G7" s="3" t="s">
        <v>33</v>
      </c>
      <c r="H7" s="4" t="s">
        <v>38</v>
      </c>
    </row>
    <row r="8" spans="1:8">
      <c r="A8" s="8" t="s">
        <v>39</v>
      </c>
      <c r="B8" s="9">
        <v>3850</v>
      </c>
      <c r="C8" s="10">
        <v>0</v>
      </c>
      <c r="D8" s="10">
        <v>0.2899</v>
      </c>
      <c r="E8" s="11">
        <v>12</v>
      </c>
      <c r="F8" s="9">
        <v>116</v>
      </c>
      <c r="G8" s="3" t="s">
        <v>33</v>
      </c>
      <c r="H8" s="4" t="s">
        <v>40</v>
      </c>
    </row>
    <row r="9" spans="1:8">
      <c r="A9" s="12" t="s">
        <v>41</v>
      </c>
      <c r="B9" s="13">
        <f>SUM(B5:B8)</f>
        <v>19800.0</v>
      </c>
      <c r="C9" s="12"/>
      <c r="D9" s="12"/>
      <c r="E9" s="12"/>
      <c r="F9" s="13">
        <f>SUM(F5:F8)</f>
        <v>595.0</v>
      </c>
      <c r="G9" s="12"/>
      <c r="H9" s="12"/>
    </row>
    <row r="10" spans="1:8">
      <c r="A10" s="14" t="s">
        <v>42</v>
      </c>
      <c r="B10" s="15">
        <v>46113</v>
      </c>
      <c r="D10" s="16" t="s">
        <v>45</v>
      </c>
      <c r="E10" s="16"/>
      <c r="F10" s="16"/>
      <c r="G10" s="16"/>
      <c r="H10" s="16"/>
    </row>
    <row r="11" spans="1:8">
      <c r="A11" s="14" t="s">
        <v>43</v>
      </c>
      <c r="B11" s="9">
        <v>305</v>
      </c>
      <c r="D11" s="16"/>
      <c r="E11" s="16"/>
      <c r="F11" s="16"/>
      <c r="G11" s="16"/>
      <c r="H11" s="16"/>
    </row>
    <row r="12" spans="1:8">
      <c r="A12" s="14" t="s">
        <v>44</v>
      </c>
      <c r="B12" s="13">
        <f>F9+B11</f>
        <v>900.0</v>
      </c>
      <c r="D12" s="16"/>
      <c r="E12" s="16"/>
      <c r="F12" s="16"/>
      <c r="G12" s="16"/>
      <c r="H12" s="16"/>
    </row>
  </sheetData>
  <mergeCells count="3">
    <mergeCell ref="A1:H1"/>
    <mergeCell ref="A2:H2"/>
    <mergeCell ref="D10:H12"/>
  </mergeCells>
  <pageMargins left="0.7" right="0.7" top="0.75" bottom="0.75" header="0.3" footer="0.3"/>
  <headerFooter>
    <oddFooter>&amp;LCredit Card Payoff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2" width="12.7109375" customWidth="1"/>
    <col min="23" max="25" width="14.7109375" customWidth="1"/>
  </cols>
  <sheetData>
    <row r="1" spans="1:2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2" t="s">
        <v>52</v>
      </c>
      <c r="B3" s="12"/>
      <c r="C3" s="12" t="s">
        <v>32</v>
      </c>
      <c r="D3" s="12"/>
      <c r="E3" s="12"/>
      <c r="F3" s="12"/>
      <c r="G3" s="12"/>
      <c r="H3" s="12" t="s">
        <v>35</v>
      </c>
      <c r="I3" s="12"/>
      <c r="J3" s="12"/>
      <c r="K3" s="12"/>
      <c r="L3" s="12"/>
      <c r="M3" s="12" t="s">
        <v>39</v>
      </c>
      <c r="N3" s="12"/>
      <c r="O3" s="12"/>
      <c r="P3" s="12"/>
      <c r="Q3" s="12"/>
      <c r="R3" s="12" t="s">
        <v>37</v>
      </c>
      <c r="S3" s="12"/>
      <c r="T3" s="12"/>
      <c r="U3" s="12"/>
      <c r="V3" s="12"/>
    </row>
    <row r="4" spans="1:25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55</v>
      </c>
      <c r="X4" s="7" t="s">
        <v>56</v>
      </c>
      <c r="Y4" s="7" t="s">
        <v>57</v>
      </c>
    </row>
    <row r="5" spans="1:25">
      <c r="A5" s="17">
        <f>ROW()-3</f>
        <v>1</v>
      </c>
      <c r="B5" s="18" t="str">
        <f>TEXT(EDATE(StartDate,A5-1),"mmm yyyy")</f>
        <v>Apr 2026</v>
      </c>
      <c r="C5" s="13">
        <f>StoreBalance</f>
        <v>2650.0</v>
      </c>
      <c r="D5" s="13">
        <f>ROUND(IF($C$5&lt;=0,0,$C$5*IF(A5&lt;=StorePromoMonths,StoreIntroAPR,StoreResetAPR)/12),2)</f>
        <v>70.64</v>
      </c>
      <c r="E5" s="13">
        <f>ROUND(IF($C$5&lt;=0,0,MIN(StoreMinPayment,$C$5+$D$5)),2)</f>
        <v>80.0</v>
      </c>
      <c r="F5" s="13">
        <f>ROUND(IF($C$5&lt;=0,0,MIN(MAX(0,$C$5+$D$5-$E$5),$W$5)),2)</f>
        <v>305.0</v>
      </c>
      <c r="G5" s="13">
        <f>ROUND(MAX(0,$C$5+$D$5-$E$5-$F$5),2)</f>
        <v>2335.64</v>
      </c>
      <c r="H5" s="13">
        <f>VisaBalance</f>
        <v>7400.0</v>
      </c>
      <c r="I5" s="13">
        <f>ROUND(IF($H$5&lt;=0,0,$H$5*IF(A5&lt;=VisaPromoMonths,VisaIntroAPR,VisaResetAPR)/12),2)</f>
        <v>184.94</v>
      </c>
      <c r="J5" s="13">
        <f>ROUND(IF($H$5&lt;=0,0,MIN(VisaMinPayment,$H$5+$I$5)),2)</f>
        <v>222.0</v>
      </c>
      <c r="K5" s="13">
        <f>ROUND(IF($H$5&lt;=0,0,MIN(MAX(0,$H$5+$I$5-$J$5),MAX(0,$W$5-$F$5))),2)</f>
        <v>0.0</v>
      </c>
      <c r="L5" s="13">
        <f>ROUND(MAX(0,$H$5+$I$5-$J$5-$K$5),2)</f>
        <v>7362.94</v>
      </c>
      <c r="M5" s="13">
        <f>PromoBalance</f>
        <v>3850.0</v>
      </c>
      <c r="N5" s="13">
        <f>ROUND(IF($M$5&lt;=0,0,$M$5*IF(A5&lt;=PromoPromoMonths,PromoIntroAPR,PromoResetAPR)/12),2)</f>
        <v>0.0</v>
      </c>
      <c r="O5" s="13">
        <f>ROUND(IF($M$5&lt;=0,0,MIN(PromoMinPayment,$M$5+$N$5)),2)</f>
        <v>116.0</v>
      </c>
      <c r="P5" s="13">
        <f>ROUND(IF($M$5&lt;=0,0,MIN(MAX(0,$M$5+$N$5-$O$5),MAX(0,$W$5-$F$5-$K$5))),2)</f>
        <v>0.0</v>
      </c>
      <c r="Q5" s="13">
        <f>ROUND(MAX(0,$M$5+$N$5-$O$5-$P$5),2)</f>
        <v>3734.0</v>
      </c>
      <c r="R5" s="13">
        <f>MastercardBalance</f>
        <v>5900.0</v>
      </c>
      <c r="S5" s="13">
        <f>ROUND(IF($R$5&lt;=0,0,$R$5*IF(A5&lt;=MastercardPromoMonths,MastercardIntroAPR,MastercardResetAPR)/12),2)</f>
        <v>122.87</v>
      </c>
      <c r="T5" s="13">
        <f>ROUND(IF($R$5&lt;=0,0,MIN(MastercardMinPayment,$R$5+$S$5)),2)</f>
        <v>177.0</v>
      </c>
      <c r="U5" s="13">
        <f>ROUND(IF($R$5&lt;=0,0,MIN(MAX(0,$R$5+$S$5-$T$5),MAX(0,$W$5-$F$5-$K$5-$P$5))),2)</f>
        <v>0.0</v>
      </c>
      <c r="V5" s="13">
        <f>ROUND(MAX(0,$R$5+$S$5-$T$5-$U$5),2)</f>
        <v>5845.87</v>
      </c>
      <c r="W5" s="13">
        <f>ROUND(ExtraPayment,2)</f>
        <v>305.0</v>
      </c>
      <c r="X5" s="13">
        <f>ROUND(SUM($D$5,$I$5,$N$5,$S$5),2)</f>
        <v>378.45</v>
      </c>
      <c r="Y5" s="13">
        <f>ROUND(SUM($G$5,$L$5,$Q$5,$V$5),2)</f>
        <v>19278.45</v>
      </c>
    </row>
    <row r="6" spans="1:25">
      <c r="A6" s="17">
        <f>ROW()-3</f>
        <v>2</v>
      </c>
      <c r="B6" s="18" t="str">
        <f>TEXT(EDATE(StartDate,A6-1),"mmm yyyy")</f>
        <v>May 2026</v>
      </c>
      <c r="C6" s="13">
        <f>$G$5</f>
        <v>2335.64</v>
      </c>
      <c r="D6" s="13">
        <f>ROUND(IF($C$6&lt;=0,0,$C$6*IF(A6&lt;=StorePromoMonths,StoreIntroAPR,StoreResetAPR)/12),2)</f>
        <v>62.26</v>
      </c>
      <c r="E6" s="13">
        <f>ROUND(IF($C$6&lt;=0,0,MIN(StoreMinPayment,$C$6+$D$6)),2)</f>
        <v>80.0</v>
      </c>
      <c r="F6" s="13">
        <f>ROUND(IF($C$6&lt;=0,0,MIN(MAX(0,$C$6+$D$6-$E$6),$W$6)),2)</f>
        <v>305.0</v>
      </c>
      <c r="G6" s="13">
        <f>ROUND(MAX(0,$C$6+$D$6-$E$6-$F$6),2)</f>
        <v>2012.9</v>
      </c>
      <c r="H6" s="13">
        <f>$L$5</f>
        <v>7362.94</v>
      </c>
      <c r="I6" s="13">
        <f>ROUND(IF($H$6&lt;=0,0,$H$6*IF(A6&lt;=VisaPromoMonths,VisaIntroAPR,VisaResetAPR)/12),2)</f>
        <v>184.01</v>
      </c>
      <c r="J6" s="13">
        <f>ROUND(IF($H$6&lt;=0,0,MIN(VisaMinPayment,$H$6+$I$6)),2)</f>
        <v>222.0</v>
      </c>
      <c r="K6" s="13">
        <f>ROUND(IF($H$6&lt;=0,0,MIN(MAX(0,$H$6+$I$6-$J$6),MAX(0,$W$6-$F$6))),2)</f>
        <v>0.0</v>
      </c>
      <c r="L6" s="13">
        <f>ROUND(MAX(0,$H$6+$I$6-$J$6-$K$6),2)</f>
        <v>7324.95</v>
      </c>
      <c r="M6" s="13">
        <f>$Q$5</f>
        <v>3734.0</v>
      </c>
      <c r="N6" s="13">
        <f>ROUND(IF($M$6&lt;=0,0,$M$6*IF(A6&lt;=PromoPromoMonths,PromoIntroAPR,PromoResetAPR)/12),2)</f>
        <v>0.0</v>
      </c>
      <c r="O6" s="13">
        <f>ROUND(IF($M$6&lt;=0,0,MIN(PromoMinPayment,$M$6+$N$6)),2)</f>
        <v>116.0</v>
      </c>
      <c r="P6" s="13">
        <f>ROUND(IF($M$6&lt;=0,0,MIN(MAX(0,$M$6+$N$6-$O$6),MAX(0,$W$6-$F$6-$K$6))),2)</f>
        <v>0.0</v>
      </c>
      <c r="Q6" s="13">
        <f>ROUND(MAX(0,$M$6+$N$6-$O$6-$P$6),2)</f>
        <v>3618.0</v>
      </c>
      <c r="R6" s="13">
        <f>$V$5</f>
        <v>5845.87</v>
      </c>
      <c r="S6" s="13">
        <f>ROUND(IF($R$6&lt;=0,0,$R$6*IF(A6&lt;=MastercardPromoMonths,MastercardIntroAPR,MastercardResetAPR)/12),2)</f>
        <v>121.74</v>
      </c>
      <c r="T6" s="13">
        <f>ROUND(IF($R$6&lt;=0,0,MIN(MastercardMinPayment,$R$6+$S$6)),2)</f>
        <v>177.0</v>
      </c>
      <c r="U6" s="13">
        <f>ROUND(IF($R$6&lt;=0,0,MIN(MAX(0,$R$6+$S$6-$T$6),MAX(0,$W$6-$F$6-$K$6-$P$6))),2)</f>
        <v>0.0</v>
      </c>
      <c r="V6" s="13">
        <f>ROUND(MAX(0,$R$6+$S$6-$T$6-$U$6),2)</f>
        <v>5790.61</v>
      </c>
      <c r="W6" s="13">
        <f>ROUND(ExtraPayment+IF($G$5&lt;=0,StoreMinPayment,0)+IF($L$5&lt;=0,VisaMinPayment,0)+IF($Q$5&lt;=0,PromoMinPayment,0)+IF($V$5&lt;=0,MastercardMinPayment,0),2)</f>
        <v>305.0</v>
      </c>
      <c r="X6" s="13">
        <f>ROUND(SUM($D$6,$I$6,$N$6,$S$6),2)</f>
        <v>368.01</v>
      </c>
      <c r="Y6" s="13">
        <f>ROUND(SUM($G$6,$L$6,$Q$6,$V$6),2)</f>
        <v>18746.46</v>
      </c>
    </row>
    <row r="7" spans="1:25">
      <c r="A7" s="17">
        <f>ROW()-3</f>
        <v>3</v>
      </c>
      <c r="B7" s="18" t="str">
        <f>TEXT(EDATE(StartDate,A7-1),"mmm yyyy")</f>
        <v>Jun 2026</v>
      </c>
      <c r="C7" s="13">
        <f>$G$6</f>
        <v>2012.9</v>
      </c>
      <c r="D7" s="13">
        <f>ROUND(IF($C$7&lt;=0,0,$C$7*IF(A7&lt;=StorePromoMonths,StoreIntroAPR,StoreResetAPR)/12),2)</f>
        <v>53.66</v>
      </c>
      <c r="E7" s="13">
        <f>ROUND(IF($C$7&lt;=0,0,MIN(StoreMinPayment,$C$7+$D$7)),2)</f>
        <v>80.0</v>
      </c>
      <c r="F7" s="13">
        <f>ROUND(IF($C$7&lt;=0,0,MIN(MAX(0,$C$7+$D$7-$E$7),$W$7)),2)</f>
        <v>305.0</v>
      </c>
      <c r="G7" s="13">
        <f>ROUND(MAX(0,$C$7+$D$7-$E$7-$F$7),2)</f>
        <v>1681.56</v>
      </c>
      <c r="H7" s="13">
        <f>$L$6</f>
        <v>7324.95</v>
      </c>
      <c r="I7" s="13">
        <f>ROUND(IF($H$7&lt;=0,0,$H$7*IF(A7&lt;=VisaPromoMonths,VisaIntroAPR,VisaResetAPR)/12),2)</f>
        <v>183.06</v>
      </c>
      <c r="J7" s="13">
        <f>ROUND(IF($H$7&lt;=0,0,MIN(VisaMinPayment,$H$7+$I$7)),2)</f>
        <v>222.0</v>
      </c>
      <c r="K7" s="13">
        <f>ROUND(IF($H$7&lt;=0,0,MIN(MAX(0,$H$7+$I$7-$J$7),MAX(0,$W$7-$F$7))),2)</f>
        <v>0.0</v>
      </c>
      <c r="L7" s="13">
        <f>ROUND(MAX(0,$H$7+$I$7-$J$7-$K$7),2)</f>
        <v>7286.01</v>
      </c>
      <c r="M7" s="13">
        <f>$Q$6</f>
        <v>3618.0</v>
      </c>
      <c r="N7" s="13">
        <f>ROUND(IF($M$7&lt;=0,0,$M$7*IF(A7&lt;=PromoPromoMonths,PromoIntroAPR,PromoResetAPR)/12),2)</f>
        <v>0.0</v>
      </c>
      <c r="O7" s="13">
        <f>ROUND(IF($M$7&lt;=0,0,MIN(PromoMinPayment,$M$7+$N$7)),2)</f>
        <v>116.0</v>
      </c>
      <c r="P7" s="13">
        <f>ROUND(IF($M$7&lt;=0,0,MIN(MAX(0,$M$7+$N$7-$O$7),MAX(0,$W$7-$F$7-$K$7))),2)</f>
        <v>0.0</v>
      </c>
      <c r="Q7" s="13">
        <f>ROUND(MAX(0,$M$7+$N$7-$O$7-$P$7),2)</f>
        <v>3502.0</v>
      </c>
      <c r="R7" s="13">
        <f>$V$6</f>
        <v>5790.61</v>
      </c>
      <c r="S7" s="13">
        <f>ROUND(IF($R$7&lt;=0,0,$R$7*IF(A7&lt;=MastercardPromoMonths,MastercardIntroAPR,MastercardResetAPR)/12),2)</f>
        <v>120.59</v>
      </c>
      <c r="T7" s="13">
        <f>ROUND(IF($R$7&lt;=0,0,MIN(MastercardMinPayment,$R$7+$S$7)),2)</f>
        <v>177.0</v>
      </c>
      <c r="U7" s="13">
        <f>ROUND(IF($R$7&lt;=0,0,MIN(MAX(0,$R$7+$S$7-$T$7),MAX(0,$W$7-$F$7-$K$7-$P$7))),2)</f>
        <v>0.0</v>
      </c>
      <c r="V7" s="13">
        <f>ROUND(MAX(0,$R$7+$S$7-$T$7-$U$7),2)</f>
        <v>5734.2</v>
      </c>
      <c r="W7" s="13">
        <f>ROUND(ExtraPayment+IF($G$6&lt;=0,StoreMinPayment,0)+IF($L$6&lt;=0,VisaMinPayment,0)+IF($Q$6&lt;=0,PromoMinPayment,0)+IF($V$6&lt;=0,MastercardMinPayment,0),2)</f>
        <v>305.0</v>
      </c>
      <c r="X7" s="13">
        <f>ROUND(SUM($D$7,$I$7,$N$7,$S$7),2)</f>
        <v>357.31</v>
      </c>
      <c r="Y7" s="13">
        <f>ROUND(SUM($G$7,$L$7,$Q$7,$V$7),2)</f>
        <v>18203.77</v>
      </c>
    </row>
    <row r="8" spans="1:25">
      <c r="A8" s="17">
        <f>ROW()-3</f>
        <v>4</v>
      </c>
      <c r="B8" s="18" t="str">
        <f>TEXT(EDATE(StartDate,A8-1),"mmm yyyy")</f>
        <v>Jul 2026</v>
      </c>
      <c r="C8" s="13">
        <f>$G$7</f>
        <v>1681.56</v>
      </c>
      <c r="D8" s="13">
        <f>ROUND(IF($C$8&lt;=0,0,$C$8*IF(A8&lt;=StorePromoMonths,StoreIntroAPR,StoreResetAPR)/12),2)</f>
        <v>44.83</v>
      </c>
      <c r="E8" s="13">
        <f>ROUND(IF($C$8&lt;=0,0,MIN(StoreMinPayment,$C$8+$D$8)),2)</f>
        <v>80.0</v>
      </c>
      <c r="F8" s="13">
        <f>ROUND(IF($C$8&lt;=0,0,MIN(MAX(0,$C$8+$D$8-$E$8),$W$8)),2)</f>
        <v>305.0</v>
      </c>
      <c r="G8" s="13">
        <f>ROUND(MAX(0,$C$8+$D$8-$E$8-$F$8),2)</f>
        <v>1341.39</v>
      </c>
      <c r="H8" s="13">
        <f>$L$7</f>
        <v>7286.01</v>
      </c>
      <c r="I8" s="13">
        <f>ROUND(IF($H$8&lt;=0,0,$H$8*IF(A8&lt;=VisaPromoMonths,VisaIntroAPR,VisaResetAPR)/12),2)</f>
        <v>182.09</v>
      </c>
      <c r="J8" s="13">
        <f>ROUND(IF($H$8&lt;=0,0,MIN(VisaMinPayment,$H$8+$I$8)),2)</f>
        <v>222.0</v>
      </c>
      <c r="K8" s="13">
        <f>ROUND(IF($H$8&lt;=0,0,MIN(MAX(0,$H$8+$I$8-$J$8),MAX(0,$W$8-$F$8))),2)</f>
        <v>0.0</v>
      </c>
      <c r="L8" s="13">
        <f>ROUND(MAX(0,$H$8+$I$8-$J$8-$K$8),2)</f>
        <v>7246.1</v>
      </c>
      <c r="M8" s="13">
        <f>$Q$7</f>
        <v>3502.0</v>
      </c>
      <c r="N8" s="13">
        <f>ROUND(IF($M$8&lt;=0,0,$M$8*IF(A8&lt;=PromoPromoMonths,PromoIntroAPR,PromoResetAPR)/12),2)</f>
        <v>0.0</v>
      </c>
      <c r="O8" s="13">
        <f>ROUND(IF($M$8&lt;=0,0,MIN(PromoMinPayment,$M$8+$N$8)),2)</f>
        <v>116.0</v>
      </c>
      <c r="P8" s="13">
        <f>ROUND(IF($M$8&lt;=0,0,MIN(MAX(0,$M$8+$N$8-$O$8),MAX(0,$W$8-$F$8-$K$8))),2)</f>
        <v>0.0</v>
      </c>
      <c r="Q8" s="13">
        <f>ROUND(MAX(0,$M$8+$N$8-$O$8-$P$8),2)</f>
        <v>3386.0</v>
      </c>
      <c r="R8" s="13">
        <f>$V$7</f>
        <v>5734.2</v>
      </c>
      <c r="S8" s="13">
        <f>ROUND(IF($R$8&lt;=0,0,$R$8*IF(A8&lt;=MastercardPromoMonths,MastercardIntroAPR,MastercardResetAPR)/12),2)</f>
        <v>119.41</v>
      </c>
      <c r="T8" s="13">
        <f>ROUND(IF($R$8&lt;=0,0,MIN(MastercardMinPayment,$R$8+$S$8)),2)</f>
        <v>177.0</v>
      </c>
      <c r="U8" s="13">
        <f>ROUND(IF($R$8&lt;=0,0,MIN(MAX(0,$R$8+$S$8-$T$8),MAX(0,$W$8-$F$8-$K$8-$P$8))),2)</f>
        <v>0.0</v>
      </c>
      <c r="V8" s="13">
        <f>ROUND(MAX(0,$R$8+$S$8-$T$8-$U$8),2)</f>
        <v>5676.61</v>
      </c>
      <c r="W8" s="13">
        <f>ROUND(ExtraPayment+IF($G$7&lt;=0,StoreMinPayment,0)+IF($L$7&lt;=0,VisaMinPayment,0)+IF($Q$7&lt;=0,PromoMinPayment,0)+IF($V$7&lt;=0,MastercardMinPayment,0),2)</f>
        <v>305.0</v>
      </c>
      <c r="X8" s="13">
        <f>ROUND(SUM($D$8,$I$8,$N$8,$S$8),2)</f>
        <v>346.33</v>
      </c>
      <c r="Y8" s="13">
        <f>ROUND(SUM($G$8,$L$8,$Q$8,$V$8),2)</f>
        <v>17650.1</v>
      </c>
    </row>
    <row r="9" spans="1:25">
      <c r="A9" s="17">
        <f>ROW()-3</f>
        <v>5</v>
      </c>
      <c r="B9" s="18" t="str">
        <f>TEXT(EDATE(StartDate,A9-1),"mmm yyyy")</f>
        <v>Aug 2026</v>
      </c>
      <c r="C9" s="13">
        <f>$G$8</f>
        <v>1341.39</v>
      </c>
      <c r="D9" s="13">
        <f>ROUND(IF($C$9&lt;=0,0,$C$9*IF(A9&lt;=StorePromoMonths,StoreIntroAPR,StoreResetAPR)/12),2)</f>
        <v>35.76</v>
      </c>
      <c r="E9" s="13">
        <f>ROUND(IF($C$9&lt;=0,0,MIN(StoreMinPayment,$C$9+$D$9)),2)</f>
        <v>80.0</v>
      </c>
      <c r="F9" s="13">
        <f>ROUND(IF($C$9&lt;=0,0,MIN(MAX(0,$C$9+$D$9-$E$9),$W$9)),2)</f>
        <v>305.0</v>
      </c>
      <c r="G9" s="13">
        <f>ROUND(MAX(0,$C$9+$D$9-$E$9-$F$9),2)</f>
        <v>992.15</v>
      </c>
      <c r="H9" s="13">
        <f>$L$8</f>
        <v>7246.1</v>
      </c>
      <c r="I9" s="13">
        <f>ROUND(IF($H$9&lt;=0,0,$H$9*IF(A9&lt;=VisaPromoMonths,VisaIntroAPR,VisaResetAPR)/12),2)</f>
        <v>181.09</v>
      </c>
      <c r="J9" s="13">
        <f>ROUND(IF($H$9&lt;=0,0,MIN(VisaMinPayment,$H$9+$I$9)),2)</f>
        <v>222.0</v>
      </c>
      <c r="K9" s="13">
        <f>ROUND(IF($H$9&lt;=0,0,MIN(MAX(0,$H$9+$I$9-$J$9),MAX(0,$W$9-$F$9))),2)</f>
        <v>0.0</v>
      </c>
      <c r="L9" s="13">
        <f>ROUND(MAX(0,$H$9+$I$9-$J$9-$K$9),2)</f>
        <v>7205.19</v>
      </c>
      <c r="M9" s="13">
        <f>$Q$8</f>
        <v>3386.0</v>
      </c>
      <c r="N9" s="13">
        <f>ROUND(IF($M$9&lt;=0,0,$M$9*IF(A9&lt;=PromoPromoMonths,PromoIntroAPR,PromoResetAPR)/12),2)</f>
        <v>0.0</v>
      </c>
      <c r="O9" s="13">
        <f>ROUND(IF($M$9&lt;=0,0,MIN(PromoMinPayment,$M$9+$N$9)),2)</f>
        <v>116.0</v>
      </c>
      <c r="P9" s="13">
        <f>ROUND(IF($M$9&lt;=0,0,MIN(MAX(0,$M$9+$N$9-$O$9),MAX(0,$W$9-$F$9-$K$9))),2)</f>
        <v>0.0</v>
      </c>
      <c r="Q9" s="13">
        <f>ROUND(MAX(0,$M$9+$N$9-$O$9-$P$9),2)</f>
        <v>3270.0</v>
      </c>
      <c r="R9" s="13">
        <f>$V$8</f>
        <v>5676.61</v>
      </c>
      <c r="S9" s="13">
        <f>ROUND(IF($R$9&lt;=0,0,$R$9*IF(A9&lt;=MastercardPromoMonths,MastercardIntroAPR,MastercardResetAPR)/12),2)</f>
        <v>118.22</v>
      </c>
      <c r="T9" s="13">
        <f>ROUND(IF($R$9&lt;=0,0,MIN(MastercardMinPayment,$R$9+$S$9)),2)</f>
        <v>177.0</v>
      </c>
      <c r="U9" s="13">
        <f>ROUND(IF($R$9&lt;=0,0,MIN(MAX(0,$R$9+$S$9-$T$9),MAX(0,$W$9-$F$9-$K$9-$P$9))),2)</f>
        <v>0.0</v>
      </c>
      <c r="V9" s="13">
        <f>ROUND(MAX(0,$R$9+$S$9-$T$9-$U$9),2)</f>
        <v>5617.83</v>
      </c>
      <c r="W9" s="13">
        <f>ROUND(ExtraPayment+IF($G$8&lt;=0,StoreMinPayment,0)+IF($L$8&lt;=0,VisaMinPayment,0)+IF($Q$8&lt;=0,PromoMinPayment,0)+IF($V$8&lt;=0,MastercardMinPayment,0),2)</f>
        <v>305.0</v>
      </c>
      <c r="X9" s="13">
        <f>ROUND(SUM($D$9,$I$9,$N$9,$S$9),2)</f>
        <v>335.07</v>
      </c>
      <c r="Y9" s="13">
        <f>ROUND(SUM($G$9,$L$9,$Q$9,$V$9),2)</f>
        <v>17085.17</v>
      </c>
    </row>
    <row r="10" spans="1:25">
      <c r="A10" s="17">
        <f>ROW()-3</f>
        <v>6</v>
      </c>
      <c r="B10" s="18" t="str">
        <f>TEXT(EDATE(StartDate,A10-1),"mmm yyyy")</f>
        <v>Sep 2026</v>
      </c>
      <c r="C10" s="13">
        <f>$G$9</f>
        <v>992.15</v>
      </c>
      <c r="D10" s="13">
        <f>ROUND(IF($C$10&lt;=0,0,$C$10*IF(A10&lt;=StorePromoMonths,StoreIntroAPR,StoreResetAPR)/12),2)</f>
        <v>26.45</v>
      </c>
      <c r="E10" s="13">
        <f>ROUND(IF($C$10&lt;=0,0,MIN(StoreMinPayment,$C$10+$D$10)),2)</f>
        <v>80.0</v>
      </c>
      <c r="F10" s="13">
        <f>ROUND(IF($C$10&lt;=0,0,MIN(MAX(0,$C$10+$D$10-$E$10),$W$10)),2)</f>
        <v>305.0</v>
      </c>
      <c r="G10" s="13">
        <f>ROUND(MAX(0,$C$10+$D$10-$E$10-$F$10),2)</f>
        <v>633.6</v>
      </c>
      <c r="H10" s="13">
        <f>$L$9</f>
        <v>7205.19</v>
      </c>
      <c r="I10" s="13">
        <f>ROUND(IF($H$10&lt;=0,0,$H$10*IF(A10&lt;=VisaPromoMonths,VisaIntroAPR,VisaResetAPR)/12),2)</f>
        <v>180.07</v>
      </c>
      <c r="J10" s="13">
        <f>ROUND(IF($H$10&lt;=0,0,MIN(VisaMinPayment,$H$10+$I$10)),2)</f>
        <v>222.0</v>
      </c>
      <c r="K10" s="13">
        <f>ROUND(IF($H$10&lt;=0,0,MIN(MAX(0,$H$10+$I$10-$J$10),MAX(0,$W$10-$F$10))),2)</f>
        <v>0.0</v>
      </c>
      <c r="L10" s="13">
        <f>ROUND(MAX(0,$H$10+$I$10-$J$10-$K$10),2)</f>
        <v>7163.26</v>
      </c>
      <c r="M10" s="13">
        <f>$Q$9</f>
        <v>3270.0</v>
      </c>
      <c r="N10" s="13">
        <f>ROUND(IF($M$10&lt;=0,0,$M$10*IF(A10&lt;=PromoPromoMonths,PromoIntroAPR,PromoResetAPR)/12),2)</f>
        <v>0.0</v>
      </c>
      <c r="O10" s="13">
        <f>ROUND(IF($M$10&lt;=0,0,MIN(PromoMinPayment,$M$10+$N$10)),2)</f>
        <v>116.0</v>
      </c>
      <c r="P10" s="13">
        <f>ROUND(IF($M$10&lt;=0,0,MIN(MAX(0,$M$10+$N$10-$O$10),MAX(0,$W$10-$F$10-$K$10))),2)</f>
        <v>0.0</v>
      </c>
      <c r="Q10" s="13">
        <f>ROUND(MAX(0,$M$10+$N$10-$O$10-$P$10),2)</f>
        <v>3154.0</v>
      </c>
      <c r="R10" s="13">
        <f>$V$9</f>
        <v>5617.83</v>
      </c>
      <c r="S10" s="13">
        <f>ROUND(IF($R$10&lt;=0,0,$R$10*IF(A10&lt;=MastercardPromoMonths,MastercardIntroAPR,MastercardResetAPR)/12),2)</f>
        <v>116.99</v>
      </c>
      <c r="T10" s="13">
        <f>ROUND(IF($R$10&lt;=0,0,MIN(MastercardMinPayment,$R$10+$S$10)),2)</f>
        <v>177.0</v>
      </c>
      <c r="U10" s="13">
        <f>ROUND(IF($R$10&lt;=0,0,MIN(MAX(0,$R$10+$S$10-$T$10),MAX(0,$W$10-$F$10-$K$10-$P$10))),2)</f>
        <v>0.0</v>
      </c>
      <c r="V10" s="13">
        <f>ROUND(MAX(0,$R$10+$S$10-$T$10-$U$10),2)</f>
        <v>5557.82</v>
      </c>
      <c r="W10" s="13">
        <f>ROUND(ExtraPayment+IF($G$9&lt;=0,StoreMinPayment,0)+IF($L$9&lt;=0,VisaMinPayment,0)+IF($Q$9&lt;=0,PromoMinPayment,0)+IF($V$9&lt;=0,MastercardMinPayment,0),2)</f>
        <v>305.0</v>
      </c>
      <c r="X10" s="13">
        <f>ROUND(SUM($D$10,$I$10,$N$10,$S$10),2)</f>
        <v>323.51</v>
      </c>
      <c r="Y10" s="13">
        <f>ROUND(SUM($G$10,$L$10,$Q$10,$V$10),2)</f>
        <v>16508.68</v>
      </c>
    </row>
    <row r="11" spans="1:25">
      <c r="A11" s="17">
        <f>ROW()-3</f>
        <v>7</v>
      </c>
      <c r="B11" s="18" t="str">
        <f>TEXT(EDATE(StartDate,A11-1),"mmm yyyy")</f>
        <v>Oct 2026</v>
      </c>
      <c r="C11" s="13">
        <f>$G$10</f>
        <v>633.6</v>
      </c>
      <c r="D11" s="13">
        <f>ROUND(IF($C$11&lt;=0,0,$C$11*IF(A11&lt;=StorePromoMonths,StoreIntroAPR,StoreResetAPR)/12),2)</f>
        <v>16.89</v>
      </c>
      <c r="E11" s="13">
        <f>ROUND(IF($C$11&lt;=0,0,MIN(StoreMinPayment,$C$11+$D$11)),2)</f>
        <v>80.0</v>
      </c>
      <c r="F11" s="13">
        <f>ROUND(IF($C$11&lt;=0,0,MIN(MAX(0,$C$11+$D$11-$E$11),$W$11)),2)</f>
        <v>305.0</v>
      </c>
      <c r="G11" s="13">
        <f>ROUND(MAX(0,$C$11+$D$11-$E$11-$F$11),2)</f>
        <v>265.49</v>
      </c>
      <c r="H11" s="13">
        <f>$L$10</f>
        <v>7163.26</v>
      </c>
      <c r="I11" s="13">
        <f>ROUND(IF($H$11&lt;=0,0,$H$11*IF(A11&lt;=VisaPromoMonths,VisaIntroAPR,VisaResetAPR)/12),2)</f>
        <v>179.02</v>
      </c>
      <c r="J11" s="13">
        <f>ROUND(IF($H$11&lt;=0,0,MIN(VisaMinPayment,$H$11+$I$11)),2)</f>
        <v>222.0</v>
      </c>
      <c r="K11" s="13">
        <f>ROUND(IF($H$11&lt;=0,0,MIN(MAX(0,$H$11+$I$11-$J$11),MAX(0,$W$11-$F$11))),2)</f>
        <v>0.0</v>
      </c>
      <c r="L11" s="13">
        <f>ROUND(MAX(0,$H$11+$I$11-$J$11-$K$11),2)</f>
        <v>7120.28</v>
      </c>
      <c r="M11" s="13">
        <f>$Q$10</f>
        <v>3154.0</v>
      </c>
      <c r="N11" s="13">
        <f>ROUND(IF($M$11&lt;=0,0,$M$11*IF(A11&lt;=PromoPromoMonths,PromoIntroAPR,PromoResetAPR)/12),2)</f>
        <v>0.0</v>
      </c>
      <c r="O11" s="13">
        <f>ROUND(IF($M$11&lt;=0,0,MIN(PromoMinPayment,$M$11+$N$11)),2)</f>
        <v>116.0</v>
      </c>
      <c r="P11" s="13">
        <f>ROUND(IF($M$11&lt;=0,0,MIN(MAX(0,$M$11+$N$11-$O$11),MAX(0,$W$11-$F$11-$K$11))),2)</f>
        <v>0.0</v>
      </c>
      <c r="Q11" s="13">
        <f>ROUND(MAX(0,$M$11+$N$11-$O$11-$P$11),2)</f>
        <v>3038.0</v>
      </c>
      <c r="R11" s="13">
        <f>$V$10</f>
        <v>5557.82</v>
      </c>
      <c r="S11" s="13">
        <f>ROUND(IF($R$11&lt;=0,0,$R$11*IF(A11&lt;=MastercardPromoMonths,MastercardIntroAPR,MastercardResetAPR)/12),2)</f>
        <v>115.74</v>
      </c>
      <c r="T11" s="13">
        <f>ROUND(IF($R$11&lt;=0,0,MIN(MastercardMinPayment,$R$11+$S$11)),2)</f>
        <v>177.0</v>
      </c>
      <c r="U11" s="13">
        <f>ROUND(IF($R$11&lt;=0,0,MIN(MAX(0,$R$11+$S$11-$T$11),MAX(0,$W$11-$F$11-$K$11-$P$11))),2)</f>
        <v>0.0</v>
      </c>
      <c r="V11" s="13">
        <f>ROUND(MAX(0,$R$11+$S$11-$T$11-$U$11),2)</f>
        <v>5496.56</v>
      </c>
      <c r="W11" s="13">
        <f>ROUND(ExtraPayment+IF($G$10&lt;=0,StoreMinPayment,0)+IF($L$10&lt;=0,VisaMinPayment,0)+IF($Q$10&lt;=0,PromoMinPayment,0)+IF($V$10&lt;=0,MastercardMinPayment,0),2)</f>
        <v>305.0</v>
      </c>
      <c r="X11" s="13">
        <f>ROUND(SUM($D$11,$I$11,$N$11,$S$11),2)</f>
        <v>311.65</v>
      </c>
      <c r="Y11" s="13">
        <f>ROUND(SUM($G$11,$L$11,$Q$11,$V$11),2)</f>
        <v>15920.33</v>
      </c>
    </row>
    <row r="12" spans="1:25">
      <c r="A12" s="17">
        <f>ROW()-3</f>
        <v>8</v>
      </c>
      <c r="B12" s="18" t="str">
        <f>TEXT(EDATE(StartDate,A12-1),"mmm yyyy")</f>
        <v>Nov 2026</v>
      </c>
      <c r="C12" s="13">
        <f>$G$11</f>
        <v>265.49</v>
      </c>
      <c r="D12" s="13">
        <f>ROUND(IF($C$12&lt;=0,0,$C$12*IF(A12&lt;=StorePromoMonths,StoreIntroAPR,StoreResetAPR)/12),2)</f>
        <v>7.08</v>
      </c>
      <c r="E12" s="13">
        <f>ROUND(IF($C$12&lt;=0,0,MIN(StoreMinPayment,$C$12+$D$12)),2)</f>
        <v>80.0</v>
      </c>
      <c r="F12" s="13">
        <f>ROUND(IF($C$12&lt;=0,0,MIN(MAX(0,$C$12+$D$12-$E$12),$W$12)),2)</f>
        <v>192.57</v>
      </c>
      <c r="G12" s="13">
        <f>ROUND(MAX(0,$C$12+$D$12-$E$12-$F$12),2)</f>
        <v>0.0</v>
      </c>
      <c r="H12" s="13">
        <f>$L$11</f>
        <v>7120.28</v>
      </c>
      <c r="I12" s="13">
        <f>ROUND(IF($H$12&lt;=0,0,$H$12*IF(A12&lt;=VisaPromoMonths,VisaIntroAPR,VisaResetAPR)/12),2)</f>
        <v>177.95</v>
      </c>
      <c r="J12" s="13">
        <f>ROUND(IF($H$12&lt;=0,0,MIN(VisaMinPayment,$H$12+$I$12)),2)</f>
        <v>222.0</v>
      </c>
      <c r="K12" s="13">
        <f>ROUND(IF($H$12&lt;=0,0,MIN(MAX(0,$H$12+$I$12-$J$12),MAX(0,$W$12-$F$12))),2)</f>
        <v>112.43</v>
      </c>
      <c r="L12" s="13">
        <f>ROUND(MAX(0,$H$12+$I$12-$J$12-$K$12),2)</f>
        <v>6963.8</v>
      </c>
      <c r="M12" s="13">
        <f>$Q$11</f>
        <v>3038.0</v>
      </c>
      <c r="N12" s="13">
        <f>ROUND(IF($M$12&lt;=0,0,$M$12*IF(A12&lt;=PromoPromoMonths,PromoIntroAPR,PromoResetAPR)/12),2)</f>
        <v>0.0</v>
      </c>
      <c r="O12" s="13">
        <f>ROUND(IF($M$12&lt;=0,0,MIN(PromoMinPayment,$M$12+$N$12)),2)</f>
        <v>116.0</v>
      </c>
      <c r="P12" s="13">
        <f>ROUND(IF($M$12&lt;=0,0,MIN(MAX(0,$M$12+$N$12-$O$12),MAX(0,$W$12-$F$12-$K$12))),2)</f>
        <v>0.0</v>
      </c>
      <c r="Q12" s="13">
        <f>ROUND(MAX(0,$M$12+$N$12-$O$12-$P$12),2)</f>
        <v>2922.0</v>
      </c>
      <c r="R12" s="13">
        <f>$V$11</f>
        <v>5496.56</v>
      </c>
      <c r="S12" s="13">
        <f>ROUND(IF($R$12&lt;=0,0,$R$12*IF(A12&lt;=MastercardPromoMonths,MastercardIntroAPR,MastercardResetAPR)/12),2)</f>
        <v>114.47</v>
      </c>
      <c r="T12" s="13">
        <f>ROUND(IF($R$12&lt;=0,0,MIN(MastercardMinPayment,$R$12+$S$12)),2)</f>
        <v>177.0</v>
      </c>
      <c r="U12" s="13">
        <f>ROUND(IF($R$12&lt;=0,0,MIN(MAX(0,$R$12+$S$12-$T$12),MAX(0,$W$12-$F$12-$K$12-$P$12))),2)</f>
        <v>0.0</v>
      </c>
      <c r="V12" s="13">
        <f>ROUND(MAX(0,$R$12+$S$12-$T$12-$U$12),2)</f>
        <v>5434.03</v>
      </c>
      <c r="W12" s="13">
        <f>ROUND(ExtraPayment+IF($G$11&lt;=0,StoreMinPayment,0)+IF($L$11&lt;=0,VisaMinPayment,0)+IF($Q$11&lt;=0,PromoMinPayment,0)+IF($V$11&lt;=0,MastercardMinPayment,0),2)</f>
        <v>305.0</v>
      </c>
      <c r="X12" s="13">
        <f>ROUND(SUM($D$12,$I$12,$N$12,$S$12),2)</f>
        <v>299.5</v>
      </c>
      <c r="Y12" s="13">
        <f>ROUND(SUM($G$12,$L$12,$Q$12,$V$12),2)</f>
        <v>15319.83</v>
      </c>
    </row>
    <row r="13" spans="1:25">
      <c r="A13" s="17">
        <f>ROW()-3</f>
        <v>9</v>
      </c>
      <c r="B13" s="18" t="str">
        <f>TEXT(EDATE(StartDate,A13-1),"mmm yyyy")</f>
        <v>Dec 2026</v>
      </c>
      <c r="C13" s="13">
        <f>$G$12</f>
        <v>0.0</v>
      </c>
      <c r="D13" s="13">
        <f>ROUND(IF($C$13&lt;=0,0,$C$13*IF(A13&lt;=StorePromoMonths,StoreIntroAPR,StoreResetAPR)/12),2)</f>
        <v>0.0</v>
      </c>
      <c r="E13" s="13">
        <f>ROUND(IF($C$13&lt;=0,0,MIN(StoreMinPayment,$C$13+$D$13)),2)</f>
        <v>0.0</v>
      </c>
      <c r="F13" s="13">
        <f>ROUND(IF($C$13&lt;=0,0,MIN(MAX(0,$C$13+$D$13-$E$13),$W$13)),2)</f>
        <v>0.0</v>
      </c>
      <c r="G13" s="13">
        <f>ROUND(MAX(0,$C$13+$D$13-$E$13-$F$13),2)</f>
        <v>0.0</v>
      </c>
      <c r="H13" s="13">
        <f>$L$12</f>
        <v>6963.8</v>
      </c>
      <c r="I13" s="13">
        <f>ROUND(IF($H$13&lt;=0,0,$H$13*IF(A13&lt;=VisaPromoMonths,VisaIntroAPR,VisaResetAPR)/12),2)</f>
        <v>174.04</v>
      </c>
      <c r="J13" s="13">
        <f>ROUND(IF($H$13&lt;=0,0,MIN(VisaMinPayment,$H$13+$I$13)),2)</f>
        <v>222.0</v>
      </c>
      <c r="K13" s="13">
        <f>ROUND(IF($H$13&lt;=0,0,MIN(MAX(0,$H$13+$I$13-$J$13),MAX(0,$W$13-$F$13))),2)</f>
        <v>385.0</v>
      </c>
      <c r="L13" s="13">
        <f>ROUND(MAX(0,$H$13+$I$13-$J$13-$K$13),2)</f>
        <v>6530.84</v>
      </c>
      <c r="M13" s="13">
        <f>$Q$12</f>
        <v>2922.0</v>
      </c>
      <c r="N13" s="13">
        <f>ROUND(IF($M$13&lt;=0,0,$M$13*IF(A13&lt;=PromoPromoMonths,PromoIntroAPR,PromoResetAPR)/12),2)</f>
        <v>0.0</v>
      </c>
      <c r="O13" s="13">
        <f>ROUND(IF($M$13&lt;=0,0,MIN(PromoMinPayment,$M$13+$N$13)),2)</f>
        <v>116.0</v>
      </c>
      <c r="P13" s="13">
        <f>ROUND(IF($M$13&lt;=0,0,MIN(MAX(0,$M$13+$N$13-$O$13),MAX(0,$W$13-$F$13-$K$13))),2)</f>
        <v>0.0</v>
      </c>
      <c r="Q13" s="13">
        <f>ROUND(MAX(0,$M$13+$N$13-$O$13-$P$13),2)</f>
        <v>2806.0</v>
      </c>
      <c r="R13" s="13">
        <f>$V$12</f>
        <v>5434.03</v>
      </c>
      <c r="S13" s="13">
        <f>ROUND(IF($R$13&lt;=0,0,$R$13*IF(A13&lt;=MastercardPromoMonths,MastercardIntroAPR,MastercardResetAPR)/12),2)</f>
        <v>113.16</v>
      </c>
      <c r="T13" s="13">
        <f>ROUND(IF($R$13&lt;=0,0,MIN(MastercardMinPayment,$R$13+$S$13)),2)</f>
        <v>177.0</v>
      </c>
      <c r="U13" s="13">
        <f>ROUND(IF($R$13&lt;=0,0,MIN(MAX(0,$R$13+$S$13-$T$13),MAX(0,$W$13-$F$13-$K$13-$P$13))),2)</f>
        <v>0.0</v>
      </c>
      <c r="V13" s="13">
        <f>ROUND(MAX(0,$R$13+$S$13-$T$13-$U$13),2)</f>
        <v>5370.19</v>
      </c>
      <c r="W13" s="13">
        <f>ROUND(ExtraPayment+IF($G$12&lt;=0,StoreMinPayment,0)+IF($L$12&lt;=0,VisaMinPayment,0)+IF($Q$12&lt;=0,PromoMinPayment,0)+IF($V$12&lt;=0,MastercardMinPayment,0),2)</f>
        <v>385.0</v>
      </c>
      <c r="X13" s="13">
        <f>ROUND(SUM($D$13,$I$13,$N$13,$S$13),2)</f>
        <v>287.2</v>
      </c>
      <c r="Y13" s="13">
        <f>ROUND(SUM($G$13,$L$13,$Q$13,$V$13),2)</f>
        <v>14707.03</v>
      </c>
    </row>
    <row r="14" spans="1:25">
      <c r="A14" s="17">
        <f>ROW()-3</f>
        <v>10</v>
      </c>
      <c r="B14" s="18" t="str">
        <f>TEXT(EDATE(StartDate,A14-1),"mmm yyyy")</f>
        <v>Jan 2027</v>
      </c>
      <c r="C14" s="13">
        <f>$G$13</f>
        <v>0.0</v>
      </c>
      <c r="D14" s="13">
        <f>ROUND(IF($C$14&lt;=0,0,$C$14*IF(A14&lt;=StorePromoMonths,StoreIntroAPR,StoreResetAPR)/12),2)</f>
        <v>0.0</v>
      </c>
      <c r="E14" s="13">
        <f>ROUND(IF($C$14&lt;=0,0,MIN(StoreMinPayment,$C$14+$D$14)),2)</f>
        <v>0.0</v>
      </c>
      <c r="F14" s="13">
        <f>ROUND(IF($C$14&lt;=0,0,MIN(MAX(0,$C$14+$D$14-$E$14),$W$14)),2)</f>
        <v>0.0</v>
      </c>
      <c r="G14" s="13">
        <f>ROUND(MAX(0,$C$14+$D$14-$E$14-$F$14),2)</f>
        <v>0.0</v>
      </c>
      <c r="H14" s="13">
        <f>$L$13</f>
        <v>6530.84</v>
      </c>
      <c r="I14" s="13">
        <f>ROUND(IF($H$14&lt;=0,0,$H$14*IF(A14&lt;=VisaPromoMonths,VisaIntroAPR,VisaResetAPR)/12),2)</f>
        <v>163.22</v>
      </c>
      <c r="J14" s="13">
        <f>ROUND(IF($H$14&lt;=0,0,MIN(VisaMinPayment,$H$14+$I$14)),2)</f>
        <v>222.0</v>
      </c>
      <c r="K14" s="13">
        <f>ROUND(IF($H$14&lt;=0,0,MIN(MAX(0,$H$14+$I$14-$J$14),MAX(0,$W$14-$F$14))),2)</f>
        <v>385.0</v>
      </c>
      <c r="L14" s="13">
        <f>ROUND(MAX(0,$H$14+$I$14-$J$14-$K$14),2)</f>
        <v>6087.06</v>
      </c>
      <c r="M14" s="13">
        <f>$Q$13</f>
        <v>2806.0</v>
      </c>
      <c r="N14" s="13">
        <f>ROUND(IF($M$14&lt;=0,0,$M$14*IF(A14&lt;=PromoPromoMonths,PromoIntroAPR,PromoResetAPR)/12),2)</f>
        <v>0.0</v>
      </c>
      <c r="O14" s="13">
        <f>ROUND(IF($M$14&lt;=0,0,MIN(PromoMinPayment,$M$14+$N$14)),2)</f>
        <v>116.0</v>
      </c>
      <c r="P14" s="13">
        <f>ROUND(IF($M$14&lt;=0,0,MIN(MAX(0,$M$14+$N$14-$O$14),MAX(0,$W$14-$F$14-$K$14))),2)</f>
        <v>0.0</v>
      </c>
      <c r="Q14" s="13">
        <f>ROUND(MAX(0,$M$14+$N$14-$O$14-$P$14),2)</f>
        <v>2690.0</v>
      </c>
      <c r="R14" s="13">
        <f>$V$13</f>
        <v>5370.19</v>
      </c>
      <c r="S14" s="13">
        <f>ROUND(IF($R$14&lt;=0,0,$R$14*IF(A14&lt;=MastercardPromoMonths,MastercardIntroAPR,MastercardResetAPR)/12),2)</f>
        <v>111.83</v>
      </c>
      <c r="T14" s="13">
        <f>ROUND(IF($R$14&lt;=0,0,MIN(MastercardMinPayment,$R$14+$S$14)),2)</f>
        <v>177.0</v>
      </c>
      <c r="U14" s="13">
        <f>ROUND(IF($R$14&lt;=0,0,MIN(MAX(0,$R$14+$S$14-$T$14),MAX(0,$W$14-$F$14-$K$14-$P$14))),2)</f>
        <v>0.0</v>
      </c>
      <c r="V14" s="13">
        <f>ROUND(MAX(0,$R$14+$S$14-$T$14-$U$14),2)</f>
        <v>5305.02</v>
      </c>
      <c r="W14" s="13">
        <f>ROUND(ExtraPayment+IF($G$13&lt;=0,StoreMinPayment,0)+IF($L$13&lt;=0,VisaMinPayment,0)+IF($Q$13&lt;=0,PromoMinPayment,0)+IF($V$13&lt;=0,MastercardMinPayment,0),2)</f>
        <v>385.0</v>
      </c>
      <c r="X14" s="13">
        <f>ROUND(SUM($D$14,$I$14,$N$14,$S$14),2)</f>
        <v>275.05</v>
      </c>
      <c r="Y14" s="13">
        <f>ROUND(SUM($G$14,$L$14,$Q$14,$V$14),2)</f>
        <v>14082.08</v>
      </c>
    </row>
    <row r="15" spans="1:25">
      <c r="A15" s="17">
        <f>ROW()-3</f>
        <v>11</v>
      </c>
      <c r="B15" s="18" t="str">
        <f>TEXT(EDATE(StartDate,A15-1),"mmm yyyy")</f>
        <v>Feb 2027</v>
      </c>
      <c r="C15" s="13">
        <f>$G$14</f>
        <v>0.0</v>
      </c>
      <c r="D15" s="13">
        <f>ROUND(IF($C$15&lt;=0,0,$C$15*IF(A15&lt;=StorePromoMonths,StoreIntroAPR,StoreResetAPR)/12),2)</f>
        <v>0.0</v>
      </c>
      <c r="E15" s="13">
        <f>ROUND(IF($C$15&lt;=0,0,MIN(StoreMinPayment,$C$15+$D$15)),2)</f>
        <v>0.0</v>
      </c>
      <c r="F15" s="13">
        <f>ROUND(IF($C$15&lt;=0,0,MIN(MAX(0,$C$15+$D$15-$E$15),$W$15)),2)</f>
        <v>0.0</v>
      </c>
      <c r="G15" s="13">
        <f>ROUND(MAX(0,$C$15+$D$15-$E$15-$F$15),2)</f>
        <v>0.0</v>
      </c>
      <c r="H15" s="13">
        <f>$L$14</f>
        <v>6087.06</v>
      </c>
      <c r="I15" s="13">
        <f>ROUND(IF($H$15&lt;=0,0,$H$15*IF(A15&lt;=VisaPromoMonths,VisaIntroAPR,VisaResetAPR)/12),2)</f>
        <v>152.13</v>
      </c>
      <c r="J15" s="13">
        <f>ROUND(IF($H$15&lt;=0,0,MIN(VisaMinPayment,$H$15+$I$15)),2)</f>
        <v>222.0</v>
      </c>
      <c r="K15" s="13">
        <f>ROUND(IF($H$15&lt;=0,0,MIN(MAX(0,$H$15+$I$15-$J$15),MAX(0,$W$15-$F$15))),2)</f>
        <v>385.0</v>
      </c>
      <c r="L15" s="13">
        <f>ROUND(MAX(0,$H$15+$I$15-$J$15-$K$15),2)</f>
        <v>5632.19</v>
      </c>
      <c r="M15" s="13">
        <f>$Q$14</f>
        <v>2690.0</v>
      </c>
      <c r="N15" s="13">
        <f>ROUND(IF($M$15&lt;=0,0,$M$15*IF(A15&lt;=PromoPromoMonths,PromoIntroAPR,PromoResetAPR)/12),2)</f>
        <v>0.0</v>
      </c>
      <c r="O15" s="13">
        <f>ROUND(IF($M$15&lt;=0,0,MIN(PromoMinPayment,$M$15+$N$15)),2)</f>
        <v>116.0</v>
      </c>
      <c r="P15" s="13">
        <f>ROUND(IF($M$15&lt;=0,0,MIN(MAX(0,$M$15+$N$15-$O$15),MAX(0,$W$15-$F$15-$K$15))),2)</f>
        <v>0.0</v>
      </c>
      <c r="Q15" s="13">
        <f>ROUND(MAX(0,$M$15+$N$15-$O$15-$P$15),2)</f>
        <v>2574.0</v>
      </c>
      <c r="R15" s="13">
        <f>$V$14</f>
        <v>5305.02</v>
      </c>
      <c r="S15" s="13">
        <f>ROUND(IF($R$15&lt;=0,0,$R$15*IF(A15&lt;=MastercardPromoMonths,MastercardIntroAPR,MastercardResetAPR)/12),2)</f>
        <v>110.48</v>
      </c>
      <c r="T15" s="13">
        <f>ROUND(IF($R$15&lt;=0,0,MIN(MastercardMinPayment,$R$15+$S$15)),2)</f>
        <v>177.0</v>
      </c>
      <c r="U15" s="13">
        <f>ROUND(IF($R$15&lt;=0,0,MIN(MAX(0,$R$15+$S$15-$T$15),MAX(0,$W$15-$F$15-$K$15-$P$15))),2)</f>
        <v>0.0</v>
      </c>
      <c r="V15" s="13">
        <f>ROUND(MAX(0,$R$15+$S$15-$T$15-$U$15),2)</f>
        <v>5238.5</v>
      </c>
      <c r="W15" s="13">
        <f>ROUND(ExtraPayment+IF($G$14&lt;=0,StoreMinPayment,0)+IF($L$14&lt;=0,VisaMinPayment,0)+IF($Q$14&lt;=0,PromoMinPayment,0)+IF($V$14&lt;=0,MastercardMinPayment,0),2)</f>
        <v>385.0</v>
      </c>
      <c r="X15" s="13">
        <f>ROUND(SUM($D$15,$I$15,$N$15,$S$15),2)</f>
        <v>262.61</v>
      </c>
      <c r="Y15" s="13">
        <f>ROUND(SUM($G$15,$L$15,$Q$15,$V$15),2)</f>
        <v>13444.69</v>
      </c>
    </row>
    <row r="16" spans="1:25">
      <c r="A16" s="17">
        <f>ROW()-3</f>
        <v>12</v>
      </c>
      <c r="B16" s="18" t="str">
        <f>TEXT(EDATE(StartDate,A16-1),"mmm yyyy")</f>
        <v>Mar 2027</v>
      </c>
      <c r="C16" s="13">
        <f>$G$15</f>
        <v>0.0</v>
      </c>
      <c r="D16" s="13">
        <f>ROUND(IF($C$16&lt;=0,0,$C$16*IF(A16&lt;=StorePromoMonths,StoreIntroAPR,StoreResetAPR)/12),2)</f>
        <v>0.0</v>
      </c>
      <c r="E16" s="13">
        <f>ROUND(IF($C$16&lt;=0,0,MIN(StoreMinPayment,$C$16+$D$16)),2)</f>
        <v>0.0</v>
      </c>
      <c r="F16" s="13">
        <f>ROUND(IF($C$16&lt;=0,0,MIN(MAX(0,$C$16+$D$16-$E$16),$W$16)),2)</f>
        <v>0.0</v>
      </c>
      <c r="G16" s="13">
        <f>ROUND(MAX(0,$C$16+$D$16-$E$16-$F$16),2)</f>
        <v>0.0</v>
      </c>
      <c r="H16" s="13">
        <f>$L$15</f>
        <v>5632.19</v>
      </c>
      <c r="I16" s="13">
        <f>ROUND(IF($H$16&lt;=0,0,$H$16*IF(A16&lt;=VisaPromoMonths,VisaIntroAPR,VisaResetAPR)/12),2)</f>
        <v>140.76</v>
      </c>
      <c r="J16" s="13">
        <f>ROUND(IF($H$16&lt;=0,0,MIN(VisaMinPayment,$H$16+$I$16)),2)</f>
        <v>222.0</v>
      </c>
      <c r="K16" s="13">
        <f>ROUND(IF($H$16&lt;=0,0,MIN(MAX(0,$H$16+$I$16-$J$16),MAX(0,$W$16-$F$16))),2)</f>
        <v>385.0</v>
      </c>
      <c r="L16" s="13">
        <f>ROUND(MAX(0,$H$16+$I$16-$J$16-$K$16),2)</f>
        <v>5165.95</v>
      </c>
      <c r="M16" s="13">
        <f>$Q$15</f>
        <v>2574.0</v>
      </c>
      <c r="N16" s="13">
        <f>ROUND(IF($M$16&lt;=0,0,$M$16*IF(A16&lt;=PromoPromoMonths,PromoIntroAPR,PromoResetAPR)/12),2)</f>
        <v>0.0</v>
      </c>
      <c r="O16" s="13">
        <f>ROUND(IF($M$16&lt;=0,0,MIN(PromoMinPayment,$M$16+$N$16)),2)</f>
        <v>116.0</v>
      </c>
      <c r="P16" s="13">
        <f>ROUND(IF($M$16&lt;=0,0,MIN(MAX(0,$M$16+$N$16-$O$16),MAX(0,$W$16-$F$16-$K$16))),2)</f>
        <v>0.0</v>
      </c>
      <c r="Q16" s="13">
        <f>ROUND(MAX(0,$M$16+$N$16-$O$16-$P$16),2)</f>
        <v>2458.0</v>
      </c>
      <c r="R16" s="13">
        <f>$V$15</f>
        <v>5238.5</v>
      </c>
      <c r="S16" s="13">
        <f>ROUND(IF($R$16&lt;=0,0,$R$16*IF(A16&lt;=MastercardPromoMonths,MastercardIntroAPR,MastercardResetAPR)/12),2)</f>
        <v>109.09</v>
      </c>
      <c r="T16" s="13">
        <f>ROUND(IF($R$16&lt;=0,0,MIN(MastercardMinPayment,$R$16+$S$16)),2)</f>
        <v>177.0</v>
      </c>
      <c r="U16" s="13">
        <f>ROUND(IF($R$16&lt;=0,0,MIN(MAX(0,$R$16+$S$16-$T$16),MAX(0,$W$16-$F$16-$K$16-$P$16))),2)</f>
        <v>0.0</v>
      </c>
      <c r="V16" s="13">
        <f>ROUND(MAX(0,$R$16+$S$16-$T$16-$U$16),2)</f>
        <v>5170.59</v>
      </c>
      <c r="W16" s="13">
        <f>ROUND(ExtraPayment+IF($G$15&lt;=0,StoreMinPayment,0)+IF($L$15&lt;=0,VisaMinPayment,0)+IF($Q$15&lt;=0,PromoMinPayment,0)+IF($V$15&lt;=0,MastercardMinPayment,0),2)</f>
        <v>385.0</v>
      </c>
      <c r="X16" s="13">
        <f>ROUND(SUM($D$16,$I$16,$N$16,$S$16),2)</f>
        <v>249.85</v>
      </c>
      <c r="Y16" s="13">
        <f>ROUND(SUM($G$16,$L$16,$Q$16,$V$16),2)</f>
        <v>12794.54</v>
      </c>
    </row>
    <row r="17" spans="1:25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ROUND(IF($C$17&lt;=0,0,$C$17*IF(A17&lt;=StorePromoMonths,StoreIntroAPR,StoreResetAPR)/12),2)</f>
        <v>0.0</v>
      </c>
      <c r="E17" s="13">
        <f>ROUND(IF($C$17&lt;=0,0,MIN(StoreMinPayment,$C$17+$D$17)),2)</f>
        <v>0.0</v>
      </c>
      <c r="F17" s="13">
        <f>ROUND(IF($C$17&lt;=0,0,MIN(MAX(0,$C$17+$D$17-$E$17),$W$17)),2)</f>
        <v>0.0</v>
      </c>
      <c r="G17" s="13">
        <f>ROUND(MAX(0,$C$17+$D$17-$E$17-$F$17),2)</f>
        <v>0.0</v>
      </c>
      <c r="H17" s="13">
        <f>$L$16</f>
        <v>5165.95</v>
      </c>
      <c r="I17" s="13">
        <f>ROUND(IF($H$17&lt;=0,0,$H$17*IF(A17&lt;=VisaPromoMonths,VisaIntroAPR,VisaResetAPR)/12),2)</f>
        <v>129.11</v>
      </c>
      <c r="J17" s="13">
        <f>ROUND(IF($H$17&lt;=0,0,MIN(VisaMinPayment,$H$17+$I$17)),2)</f>
        <v>222.0</v>
      </c>
      <c r="K17" s="13">
        <f>ROUND(IF($H$17&lt;=0,0,MIN(MAX(0,$H$17+$I$17-$J$17),MAX(0,$W$17-$F$17))),2)</f>
        <v>385.0</v>
      </c>
      <c r="L17" s="13">
        <f>ROUND(MAX(0,$H$17+$I$17-$J$17-$K$17),2)</f>
        <v>4688.06</v>
      </c>
      <c r="M17" s="13">
        <f>$Q$16</f>
        <v>2458.0</v>
      </c>
      <c r="N17" s="13">
        <f>ROUND(IF($M$17&lt;=0,0,$M$17*IF(A17&lt;=PromoPromoMonths,PromoIntroAPR,PromoResetAPR)/12),2)</f>
        <v>59.38</v>
      </c>
      <c r="O17" s="13">
        <f>ROUND(IF($M$17&lt;=0,0,MIN(PromoMinPayment,$M$17+$N$17)),2)</f>
        <v>116.0</v>
      </c>
      <c r="P17" s="13">
        <f>ROUND(IF($M$17&lt;=0,0,MIN(MAX(0,$M$17+$N$17-$O$17),MAX(0,$W$17-$F$17-$K$17))),2)</f>
        <v>0.0</v>
      </c>
      <c r="Q17" s="13">
        <f>ROUND(MAX(0,$M$17+$N$17-$O$17-$P$17),2)</f>
        <v>2401.38</v>
      </c>
      <c r="R17" s="13">
        <f>$V$16</f>
        <v>5170.59</v>
      </c>
      <c r="S17" s="13">
        <f>ROUND(IF($R$17&lt;=0,0,$R$17*IF(A17&lt;=MastercardPromoMonths,MastercardIntroAPR,MastercardResetAPR)/12),2)</f>
        <v>107.68</v>
      </c>
      <c r="T17" s="13">
        <f>ROUND(IF($R$17&lt;=0,0,MIN(MastercardMinPayment,$R$17+$S$17)),2)</f>
        <v>177.0</v>
      </c>
      <c r="U17" s="13">
        <f>ROUND(IF($R$17&lt;=0,0,MIN(MAX(0,$R$17+$S$17-$T$17),MAX(0,$W$17-$F$17-$K$17-$P$17))),2)</f>
        <v>0.0</v>
      </c>
      <c r="V17" s="13">
        <f>ROUND(MAX(0,$R$17+$S$17-$T$17-$U$17),2)</f>
        <v>5101.27</v>
      </c>
      <c r="W17" s="13">
        <f>ROUND(ExtraPayment+IF($G$16&lt;=0,StoreMinPayment,0)+IF($L$16&lt;=0,VisaMinPayment,0)+IF($Q$16&lt;=0,PromoMinPayment,0)+IF($V$16&lt;=0,MastercardMinPayment,0),2)</f>
        <v>385.0</v>
      </c>
      <c r="X17" s="13">
        <f>ROUND(SUM($D$17,$I$17,$N$17,$S$17),2)</f>
        <v>296.17</v>
      </c>
      <c r="Y17" s="13">
        <f>ROUND(SUM($G$17,$L$17,$Q$17,$V$17),2)</f>
        <v>12190.71</v>
      </c>
    </row>
    <row r="18" spans="1:25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ROUND(IF($C$18&lt;=0,0,$C$18*IF(A18&lt;=StorePromoMonths,StoreIntroAPR,StoreResetAPR)/12),2)</f>
        <v>0.0</v>
      </c>
      <c r="E18" s="13">
        <f>ROUND(IF($C$18&lt;=0,0,MIN(StoreMinPayment,$C$18+$D$18)),2)</f>
        <v>0.0</v>
      </c>
      <c r="F18" s="13">
        <f>ROUND(IF($C$18&lt;=0,0,MIN(MAX(0,$C$18+$D$18-$E$18),$W$18)),2)</f>
        <v>0.0</v>
      </c>
      <c r="G18" s="13">
        <f>ROUND(MAX(0,$C$18+$D$18-$E$18-$F$18),2)</f>
        <v>0.0</v>
      </c>
      <c r="H18" s="13">
        <f>$L$17</f>
        <v>4688.06</v>
      </c>
      <c r="I18" s="13">
        <f>ROUND(IF($H$18&lt;=0,0,$H$18*IF(A18&lt;=VisaPromoMonths,VisaIntroAPR,VisaResetAPR)/12),2)</f>
        <v>117.16</v>
      </c>
      <c r="J18" s="13">
        <f>ROUND(IF($H$18&lt;=0,0,MIN(VisaMinPayment,$H$18+$I$18)),2)</f>
        <v>222.0</v>
      </c>
      <c r="K18" s="13">
        <f>ROUND(IF($H$18&lt;=0,0,MIN(MAX(0,$H$18+$I$18-$J$18),MAX(0,$W$18-$F$18))),2)</f>
        <v>385.0</v>
      </c>
      <c r="L18" s="13">
        <f>ROUND(MAX(0,$H$18+$I$18-$J$18-$K$18),2)</f>
        <v>4198.22</v>
      </c>
      <c r="M18" s="13">
        <f>$Q$17</f>
        <v>2401.38</v>
      </c>
      <c r="N18" s="13">
        <f>ROUND(IF($M$18&lt;=0,0,$M$18*IF(A18&lt;=PromoPromoMonths,PromoIntroAPR,PromoResetAPR)/12),2)</f>
        <v>58.01</v>
      </c>
      <c r="O18" s="13">
        <f>ROUND(IF($M$18&lt;=0,0,MIN(PromoMinPayment,$M$18+$N$18)),2)</f>
        <v>116.0</v>
      </c>
      <c r="P18" s="13">
        <f>ROUND(IF($M$18&lt;=0,0,MIN(MAX(0,$M$18+$N$18-$O$18),MAX(0,$W$18-$F$18-$K$18))),2)</f>
        <v>0.0</v>
      </c>
      <c r="Q18" s="13">
        <f>ROUND(MAX(0,$M$18+$N$18-$O$18-$P$18),2)</f>
        <v>2343.39</v>
      </c>
      <c r="R18" s="13">
        <f>$V$17</f>
        <v>5101.27</v>
      </c>
      <c r="S18" s="13">
        <f>ROUND(IF($R$18&lt;=0,0,$R$18*IF(A18&lt;=MastercardPromoMonths,MastercardIntroAPR,MastercardResetAPR)/12),2)</f>
        <v>106.23</v>
      </c>
      <c r="T18" s="13">
        <f>ROUND(IF($R$18&lt;=0,0,MIN(MastercardMinPayment,$R$18+$S$18)),2)</f>
        <v>177.0</v>
      </c>
      <c r="U18" s="13">
        <f>ROUND(IF($R$18&lt;=0,0,MIN(MAX(0,$R$18+$S$18-$T$18),MAX(0,$W$18-$F$18-$K$18-$P$18))),2)</f>
        <v>0.0</v>
      </c>
      <c r="V18" s="13">
        <f>ROUND(MAX(0,$R$18+$S$18-$T$18-$U$18),2)</f>
        <v>5030.5</v>
      </c>
      <c r="W18" s="13">
        <f>ROUND(ExtraPayment+IF($G$17&lt;=0,StoreMinPayment,0)+IF($L$17&lt;=0,VisaMinPayment,0)+IF($Q$17&lt;=0,PromoMinPayment,0)+IF($V$17&lt;=0,MastercardMinPayment,0),2)</f>
        <v>385.0</v>
      </c>
      <c r="X18" s="13">
        <f>ROUND(SUM($D$18,$I$18,$N$18,$S$18),2)</f>
        <v>281.4</v>
      </c>
      <c r="Y18" s="13">
        <f>ROUND(SUM($G$18,$L$18,$Q$18,$V$18),2)</f>
        <v>11572.11</v>
      </c>
    </row>
    <row r="19" spans="1:25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ROUND(IF($C$19&lt;=0,0,$C$19*IF(A19&lt;=StorePromoMonths,StoreIntroAPR,StoreResetAPR)/12),2)</f>
        <v>0.0</v>
      </c>
      <c r="E19" s="13">
        <f>ROUND(IF($C$19&lt;=0,0,MIN(StoreMinPayment,$C$19+$D$19)),2)</f>
        <v>0.0</v>
      </c>
      <c r="F19" s="13">
        <f>ROUND(IF($C$19&lt;=0,0,MIN(MAX(0,$C$19+$D$19-$E$19),$W$19)),2)</f>
        <v>0.0</v>
      </c>
      <c r="G19" s="13">
        <f>ROUND(MAX(0,$C$19+$D$19-$E$19-$F$19),2)</f>
        <v>0.0</v>
      </c>
      <c r="H19" s="13">
        <f>$L$18</f>
        <v>4198.22</v>
      </c>
      <c r="I19" s="13">
        <f>ROUND(IF($H$19&lt;=0,0,$H$19*IF(A19&lt;=VisaPromoMonths,VisaIntroAPR,VisaResetAPR)/12),2)</f>
        <v>104.92</v>
      </c>
      <c r="J19" s="13">
        <f>ROUND(IF($H$19&lt;=0,0,MIN(VisaMinPayment,$H$19+$I$19)),2)</f>
        <v>222.0</v>
      </c>
      <c r="K19" s="13">
        <f>ROUND(IF($H$19&lt;=0,0,MIN(MAX(0,$H$19+$I$19-$J$19),MAX(0,$W$19-$F$19))),2)</f>
        <v>385.0</v>
      </c>
      <c r="L19" s="13">
        <f>ROUND(MAX(0,$H$19+$I$19-$J$19-$K$19),2)</f>
        <v>3696.14</v>
      </c>
      <c r="M19" s="13">
        <f>$Q$18</f>
        <v>2343.39</v>
      </c>
      <c r="N19" s="13">
        <f>ROUND(IF($M$19&lt;=0,0,$M$19*IF(A19&lt;=PromoPromoMonths,PromoIntroAPR,PromoResetAPR)/12),2)</f>
        <v>56.61</v>
      </c>
      <c r="O19" s="13">
        <f>ROUND(IF($M$19&lt;=0,0,MIN(PromoMinPayment,$M$19+$N$19)),2)</f>
        <v>116.0</v>
      </c>
      <c r="P19" s="13">
        <f>ROUND(IF($M$19&lt;=0,0,MIN(MAX(0,$M$19+$N$19-$O$19),MAX(0,$W$19-$F$19-$K$19))),2)</f>
        <v>0.0</v>
      </c>
      <c r="Q19" s="13">
        <f>ROUND(MAX(0,$M$19+$N$19-$O$19-$P$19),2)</f>
        <v>2284.0</v>
      </c>
      <c r="R19" s="13">
        <f>$V$18</f>
        <v>5030.5</v>
      </c>
      <c r="S19" s="13">
        <f>ROUND(IF($R$19&lt;=0,0,$R$19*IF(A19&lt;=MastercardPromoMonths,MastercardIntroAPR,MastercardResetAPR)/12),2)</f>
        <v>104.76</v>
      </c>
      <c r="T19" s="13">
        <f>ROUND(IF($R$19&lt;=0,0,MIN(MastercardMinPayment,$R$19+$S$19)),2)</f>
        <v>177.0</v>
      </c>
      <c r="U19" s="13">
        <f>ROUND(IF($R$19&lt;=0,0,MIN(MAX(0,$R$19+$S$19-$T$19),MAX(0,$W$19-$F$19-$K$19-$P$19))),2)</f>
        <v>0.0</v>
      </c>
      <c r="V19" s="13">
        <f>ROUND(MAX(0,$R$19+$S$19-$T$19-$U$19),2)</f>
        <v>4958.26</v>
      </c>
      <c r="W19" s="13">
        <f>ROUND(ExtraPayment+IF($G$18&lt;=0,StoreMinPayment,0)+IF($L$18&lt;=0,VisaMinPayment,0)+IF($Q$18&lt;=0,PromoMinPayment,0)+IF($V$18&lt;=0,MastercardMinPayment,0),2)</f>
        <v>385.0</v>
      </c>
      <c r="X19" s="13">
        <f>ROUND(SUM($D$19,$I$19,$N$19,$S$19),2)</f>
        <v>266.29</v>
      </c>
      <c r="Y19" s="13">
        <f>ROUND(SUM($G$19,$L$19,$Q$19,$V$19),2)</f>
        <v>10938.4</v>
      </c>
    </row>
    <row r="20" spans="1:25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ROUND(IF($C$20&lt;=0,0,$C$20*IF(A20&lt;=StorePromoMonths,StoreIntroAPR,StoreResetAPR)/12),2)</f>
        <v>0.0</v>
      </c>
      <c r="E20" s="13">
        <f>ROUND(IF($C$20&lt;=0,0,MIN(StoreMinPayment,$C$20+$D$20)),2)</f>
        <v>0.0</v>
      </c>
      <c r="F20" s="13">
        <f>ROUND(IF($C$20&lt;=0,0,MIN(MAX(0,$C$20+$D$20-$E$20),$W$20)),2)</f>
        <v>0.0</v>
      </c>
      <c r="G20" s="13">
        <f>ROUND(MAX(0,$C$20+$D$20-$E$20-$F$20),2)</f>
        <v>0.0</v>
      </c>
      <c r="H20" s="13">
        <f>$L$19</f>
        <v>3696.14</v>
      </c>
      <c r="I20" s="13">
        <f>ROUND(IF($H$20&lt;=0,0,$H$20*IF(A20&lt;=VisaPromoMonths,VisaIntroAPR,VisaResetAPR)/12),2)</f>
        <v>92.37</v>
      </c>
      <c r="J20" s="13">
        <f>ROUND(IF($H$20&lt;=0,0,MIN(VisaMinPayment,$H$20+$I$20)),2)</f>
        <v>222.0</v>
      </c>
      <c r="K20" s="13">
        <f>ROUND(IF($H$20&lt;=0,0,MIN(MAX(0,$H$20+$I$20-$J$20),MAX(0,$W$20-$F$20))),2)</f>
        <v>385.0</v>
      </c>
      <c r="L20" s="13">
        <f>ROUND(MAX(0,$H$20+$I$20-$J$20-$K$20),2)</f>
        <v>3181.51</v>
      </c>
      <c r="M20" s="13">
        <f>$Q$19</f>
        <v>2284.0</v>
      </c>
      <c r="N20" s="13">
        <f>ROUND(IF($M$20&lt;=0,0,$M$20*IF(A20&lt;=PromoPromoMonths,PromoIntroAPR,PromoResetAPR)/12),2)</f>
        <v>55.18</v>
      </c>
      <c r="O20" s="13">
        <f>ROUND(IF($M$20&lt;=0,0,MIN(PromoMinPayment,$M$20+$N$20)),2)</f>
        <v>116.0</v>
      </c>
      <c r="P20" s="13">
        <f>ROUND(IF($M$20&lt;=0,0,MIN(MAX(0,$M$20+$N$20-$O$20),MAX(0,$W$20-$F$20-$K$20))),2)</f>
        <v>0.0</v>
      </c>
      <c r="Q20" s="13">
        <f>ROUND(MAX(0,$M$20+$N$20-$O$20-$P$20),2)</f>
        <v>2223.18</v>
      </c>
      <c r="R20" s="13">
        <f>$V$19</f>
        <v>4958.26</v>
      </c>
      <c r="S20" s="13">
        <f>ROUND(IF($R$20&lt;=0,0,$R$20*IF(A20&lt;=MastercardPromoMonths,MastercardIntroAPR,MastercardResetAPR)/12),2)</f>
        <v>103.26</v>
      </c>
      <c r="T20" s="13">
        <f>ROUND(IF($R$20&lt;=0,0,MIN(MastercardMinPayment,$R$20+$S$20)),2)</f>
        <v>177.0</v>
      </c>
      <c r="U20" s="13">
        <f>ROUND(IF($R$20&lt;=0,0,MIN(MAX(0,$R$20+$S$20-$T$20),MAX(0,$W$20-$F$20-$K$20-$P$20))),2)</f>
        <v>0.0</v>
      </c>
      <c r="V20" s="13">
        <f>ROUND(MAX(0,$R$20+$S$20-$T$20-$U$20),2)</f>
        <v>4884.52</v>
      </c>
      <c r="W20" s="13">
        <f>ROUND(ExtraPayment+IF($G$19&lt;=0,StoreMinPayment,0)+IF($L$19&lt;=0,VisaMinPayment,0)+IF($Q$19&lt;=0,PromoMinPayment,0)+IF($V$19&lt;=0,MastercardMinPayment,0),2)</f>
        <v>385.0</v>
      </c>
      <c r="X20" s="13">
        <f>ROUND(SUM($D$20,$I$20,$N$20,$S$20),2)</f>
        <v>250.81</v>
      </c>
      <c r="Y20" s="13">
        <f>ROUND(SUM($G$20,$L$20,$Q$20,$V$20),2)</f>
        <v>10289.21</v>
      </c>
    </row>
    <row r="21" spans="1:25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ROUND(IF($C$21&lt;=0,0,$C$21*IF(A21&lt;=StorePromoMonths,StoreIntroAPR,StoreResetAPR)/12),2)</f>
        <v>0.0</v>
      </c>
      <c r="E21" s="13">
        <f>ROUND(IF($C$21&lt;=0,0,MIN(StoreMinPayment,$C$21+$D$21)),2)</f>
        <v>0.0</v>
      </c>
      <c r="F21" s="13">
        <f>ROUND(IF($C$21&lt;=0,0,MIN(MAX(0,$C$21+$D$21-$E$21),$W$21)),2)</f>
        <v>0.0</v>
      </c>
      <c r="G21" s="13">
        <f>ROUND(MAX(0,$C$21+$D$21-$E$21-$F$21),2)</f>
        <v>0.0</v>
      </c>
      <c r="H21" s="13">
        <f>$L$20</f>
        <v>3181.51</v>
      </c>
      <c r="I21" s="13">
        <f>ROUND(IF($H$21&lt;=0,0,$H$21*IF(A21&lt;=VisaPromoMonths,VisaIntroAPR,VisaResetAPR)/12),2)</f>
        <v>79.51</v>
      </c>
      <c r="J21" s="13">
        <f>ROUND(IF($H$21&lt;=0,0,MIN(VisaMinPayment,$H$21+$I$21)),2)</f>
        <v>222.0</v>
      </c>
      <c r="K21" s="13">
        <f>ROUND(IF($H$21&lt;=0,0,MIN(MAX(0,$H$21+$I$21-$J$21),MAX(0,$W$21-$F$21))),2)</f>
        <v>385.0</v>
      </c>
      <c r="L21" s="13">
        <f>ROUND(MAX(0,$H$21+$I$21-$J$21-$K$21),2)</f>
        <v>2654.02</v>
      </c>
      <c r="M21" s="13">
        <f>$Q$20</f>
        <v>2223.18</v>
      </c>
      <c r="N21" s="13">
        <f>ROUND(IF($M$21&lt;=0,0,$M$21*IF(A21&lt;=PromoPromoMonths,PromoIntroAPR,PromoResetAPR)/12),2)</f>
        <v>53.71</v>
      </c>
      <c r="O21" s="13">
        <f>ROUND(IF($M$21&lt;=0,0,MIN(PromoMinPayment,$M$21+$N$21)),2)</f>
        <v>116.0</v>
      </c>
      <c r="P21" s="13">
        <f>ROUND(IF($M$21&lt;=0,0,MIN(MAX(0,$M$21+$N$21-$O$21),MAX(0,$W$21-$F$21-$K$21))),2)</f>
        <v>0.0</v>
      </c>
      <c r="Q21" s="13">
        <f>ROUND(MAX(0,$M$21+$N$21-$O$21-$P$21),2)</f>
        <v>2160.89</v>
      </c>
      <c r="R21" s="13">
        <f>$V$20</f>
        <v>4884.52</v>
      </c>
      <c r="S21" s="13">
        <f>ROUND(IF($R$21&lt;=0,0,$R$21*IF(A21&lt;=MastercardPromoMonths,MastercardIntroAPR,MastercardResetAPR)/12),2)</f>
        <v>101.72</v>
      </c>
      <c r="T21" s="13">
        <f>ROUND(IF($R$21&lt;=0,0,MIN(MastercardMinPayment,$R$21+$S$21)),2)</f>
        <v>177.0</v>
      </c>
      <c r="U21" s="13">
        <f>ROUND(IF($R$21&lt;=0,0,MIN(MAX(0,$R$21+$S$21-$T$21),MAX(0,$W$21-$F$21-$K$21-$P$21))),2)</f>
        <v>0.0</v>
      </c>
      <c r="V21" s="13">
        <f>ROUND(MAX(0,$R$21+$S$21-$T$21-$U$21),2)</f>
        <v>4809.24</v>
      </c>
      <c r="W21" s="13">
        <f>ROUND(ExtraPayment+IF($G$20&lt;=0,StoreMinPayment,0)+IF($L$20&lt;=0,VisaMinPayment,0)+IF($Q$20&lt;=0,PromoMinPayment,0)+IF($V$20&lt;=0,MastercardMinPayment,0),2)</f>
        <v>385.0</v>
      </c>
      <c r="X21" s="13">
        <f>ROUND(SUM($D$21,$I$21,$N$21,$S$21),2)</f>
        <v>234.94</v>
      </c>
      <c r="Y21" s="13">
        <f>ROUND(SUM($G$21,$L$21,$Q$21,$V$21),2)</f>
        <v>9624.15</v>
      </c>
    </row>
    <row r="22" spans="1:25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ROUND(IF($C$22&lt;=0,0,$C$22*IF(A22&lt;=StorePromoMonths,StoreIntroAPR,StoreResetAPR)/12),2)</f>
        <v>0.0</v>
      </c>
      <c r="E22" s="13">
        <f>ROUND(IF($C$22&lt;=0,0,MIN(StoreMinPayment,$C$22+$D$22)),2)</f>
        <v>0.0</v>
      </c>
      <c r="F22" s="13">
        <f>ROUND(IF($C$22&lt;=0,0,MIN(MAX(0,$C$22+$D$22-$E$22),$W$22)),2)</f>
        <v>0.0</v>
      </c>
      <c r="G22" s="13">
        <f>ROUND(MAX(0,$C$22+$D$22-$E$22-$F$22),2)</f>
        <v>0.0</v>
      </c>
      <c r="H22" s="13">
        <f>$L$21</f>
        <v>2654.02</v>
      </c>
      <c r="I22" s="13">
        <f>ROUND(IF($H$22&lt;=0,0,$H$22*IF(A22&lt;=VisaPromoMonths,VisaIntroAPR,VisaResetAPR)/12),2)</f>
        <v>66.33</v>
      </c>
      <c r="J22" s="13">
        <f>ROUND(IF($H$22&lt;=0,0,MIN(VisaMinPayment,$H$22+$I$22)),2)</f>
        <v>222.0</v>
      </c>
      <c r="K22" s="13">
        <f>ROUND(IF($H$22&lt;=0,0,MIN(MAX(0,$H$22+$I$22-$J$22),MAX(0,$W$22-$F$22))),2)</f>
        <v>385.0</v>
      </c>
      <c r="L22" s="13">
        <f>ROUND(MAX(0,$H$22+$I$22-$J$22-$K$22),2)</f>
        <v>2113.35</v>
      </c>
      <c r="M22" s="13">
        <f>$Q$21</f>
        <v>2160.89</v>
      </c>
      <c r="N22" s="13">
        <f>ROUND(IF($M$22&lt;=0,0,$M$22*IF(A22&lt;=PromoPromoMonths,PromoIntroAPR,PromoResetAPR)/12),2)</f>
        <v>52.2</v>
      </c>
      <c r="O22" s="13">
        <f>ROUND(IF($M$22&lt;=0,0,MIN(PromoMinPayment,$M$22+$N$22)),2)</f>
        <v>116.0</v>
      </c>
      <c r="P22" s="13">
        <f>ROUND(IF($M$22&lt;=0,0,MIN(MAX(0,$M$22+$N$22-$O$22),MAX(0,$W$22-$F$22-$K$22))),2)</f>
        <v>0.0</v>
      </c>
      <c r="Q22" s="13">
        <f>ROUND(MAX(0,$M$22+$N$22-$O$22-$P$22),2)</f>
        <v>2097.09</v>
      </c>
      <c r="R22" s="13">
        <f>$V$21</f>
        <v>4809.24</v>
      </c>
      <c r="S22" s="13">
        <f>ROUND(IF($R$22&lt;=0,0,$R$22*IF(A22&lt;=MastercardPromoMonths,MastercardIntroAPR,MastercardResetAPR)/12),2)</f>
        <v>100.15</v>
      </c>
      <c r="T22" s="13">
        <f>ROUND(IF($R$22&lt;=0,0,MIN(MastercardMinPayment,$R$22+$S$22)),2)</f>
        <v>177.0</v>
      </c>
      <c r="U22" s="13">
        <f>ROUND(IF($R$22&lt;=0,0,MIN(MAX(0,$R$22+$S$22-$T$22),MAX(0,$W$22-$F$22-$K$22-$P$22))),2)</f>
        <v>0.0</v>
      </c>
      <c r="V22" s="13">
        <f>ROUND(MAX(0,$R$22+$S$22-$T$22-$U$22),2)</f>
        <v>4732.39</v>
      </c>
      <c r="W22" s="13">
        <f>ROUND(ExtraPayment+IF($G$21&lt;=0,StoreMinPayment,0)+IF($L$21&lt;=0,VisaMinPayment,0)+IF($Q$21&lt;=0,PromoMinPayment,0)+IF($V$21&lt;=0,MastercardMinPayment,0),2)</f>
        <v>385.0</v>
      </c>
      <c r="X22" s="13">
        <f>ROUND(SUM($D$22,$I$22,$N$22,$S$22),2)</f>
        <v>218.68</v>
      </c>
      <c r="Y22" s="13">
        <f>ROUND(SUM($G$22,$L$22,$Q$22,$V$22),2)</f>
        <v>8942.83</v>
      </c>
    </row>
    <row r="23" spans="1:25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ROUND(IF($C$23&lt;=0,0,$C$23*IF(A23&lt;=StorePromoMonths,StoreIntroAPR,StoreResetAPR)/12),2)</f>
        <v>0.0</v>
      </c>
      <c r="E23" s="13">
        <f>ROUND(IF($C$23&lt;=0,0,MIN(StoreMinPayment,$C$23+$D$23)),2)</f>
        <v>0.0</v>
      </c>
      <c r="F23" s="13">
        <f>ROUND(IF($C$23&lt;=0,0,MIN(MAX(0,$C$23+$D$23-$E$23),$W$23)),2)</f>
        <v>0.0</v>
      </c>
      <c r="G23" s="13">
        <f>ROUND(MAX(0,$C$23+$D$23-$E$23-$F$23),2)</f>
        <v>0.0</v>
      </c>
      <c r="H23" s="13">
        <f>$L$22</f>
        <v>2113.35</v>
      </c>
      <c r="I23" s="13">
        <f>ROUND(IF($H$23&lt;=0,0,$H$23*IF(A23&lt;=VisaPromoMonths,VisaIntroAPR,VisaResetAPR)/12),2)</f>
        <v>52.82</v>
      </c>
      <c r="J23" s="13">
        <f>ROUND(IF($H$23&lt;=0,0,MIN(VisaMinPayment,$H$23+$I$23)),2)</f>
        <v>222.0</v>
      </c>
      <c r="K23" s="13">
        <f>ROUND(IF($H$23&lt;=0,0,MIN(MAX(0,$H$23+$I$23-$J$23),MAX(0,$W$23-$F$23))),2)</f>
        <v>385.0</v>
      </c>
      <c r="L23" s="13">
        <f>ROUND(MAX(0,$H$23+$I$23-$J$23-$K$23),2)</f>
        <v>1559.17</v>
      </c>
      <c r="M23" s="13">
        <f>$Q$22</f>
        <v>2097.09</v>
      </c>
      <c r="N23" s="13">
        <f>ROUND(IF($M$23&lt;=0,0,$M$23*IF(A23&lt;=PromoPromoMonths,PromoIntroAPR,PromoResetAPR)/12),2)</f>
        <v>50.66</v>
      </c>
      <c r="O23" s="13">
        <f>ROUND(IF($M$23&lt;=0,0,MIN(PromoMinPayment,$M$23+$N$23)),2)</f>
        <v>116.0</v>
      </c>
      <c r="P23" s="13">
        <f>ROUND(IF($M$23&lt;=0,0,MIN(MAX(0,$M$23+$N$23-$O$23),MAX(0,$W$23-$F$23-$K$23))),2)</f>
        <v>0.0</v>
      </c>
      <c r="Q23" s="13">
        <f>ROUND(MAX(0,$M$23+$N$23-$O$23-$P$23),2)</f>
        <v>2031.75</v>
      </c>
      <c r="R23" s="13">
        <f>$V$22</f>
        <v>4732.39</v>
      </c>
      <c r="S23" s="13">
        <f>ROUND(IF($R$23&lt;=0,0,$R$23*IF(A23&lt;=MastercardPromoMonths,MastercardIntroAPR,MastercardResetAPR)/12),2)</f>
        <v>98.55</v>
      </c>
      <c r="T23" s="13">
        <f>ROUND(IF($R$23&lt;=0,0,MIN(MastercardMinPayment,$R$23+$S$23)),2)</f>
        <v>177.0</v>
      </c>
      <c r="U23" s="13">
        <f>ROUND(IF($R$23&lt;=0,0,MIN(MAX(0,$R$23+$S$23-$T$23),MAX(0,$W$23-$F$23-$K$23-$P$23))),2)</f>
        <v>0.0</v>
      </c>
      <c r="V23" s="13">
        <f>ROUND(MAX(0,$R$23+$S$23-$T$23-$U$23),2)</f>
        <v>4653.94</v>
      </c>
      <c r="W23" s="13">
        <f>ROUND(ExtraPayment+IF($G$22&lt;=0,StoreMinPayment,0)+IF($L$22&lt;=0,VisaMinPayment,0)+IF($Q$22&lt;=0,PromoMinPayment,0)+IF($V$22&lt;=0,MastercardMinPayment,0),2)</f>
        <v>385.0</v>
      </c>
      <c r="X23" s="13">
        <f>ROUND(SUM($D$23,$I$23,$N$23,$S$23),2)</f>
        <v>202.03</v>
      </c>
      <c r="Y23" s="13">
        <f>ROUND(SUM($G$23,$L$23,$Q$23,$V$23),2)</f>
        <v>8244.86</v>
      </c>
    </row>
    <row r="24" spans="1:25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ROUND(IF($C$24&lt;=0,0,$C$24*IF(A24&lt;=StorePromoMonths,StoreIntroAPR,StoreResetAPR)/12),2)</f>
        <v>0.0</v>
      </c>
      <c r="E24" s="13">
        <f>ROUND(IF($C$24&lt;=0,0,MIN(StoreMinPayment,$C$24+$D$24)),2)</f>
        <v>0.0</v>
      </c>
      <c r="F24" s="13">
        <f>ROUND(IF($C$24&lt;=0,0,MIN(MAX(0,$C$24+$D$24-$E$24),$W$24)),2)</f>
        <v>0.0</v>
      </c>
      <c r="G24" s="13">
        <f>ROUND(MAX(0,$C$24+$D$24-$E$24-$F$24),2)</f>
        <v>0.0</v>
      </c>
      <c r="H24" s="13">
        <f>$L$23</f>
        <v>1559.17</v>
      </c>
      <c r="I24" s="13">
        <f>ROUND(IF($H$24&lt;=0,0,$H$24*IF(A24&lt;=VisaPromoMonths,VisaIntroAPR,VisaResetAPR)/12),2)</f>
        <v>38.97</v>
      </c>
      <c r="J24" s="13">
        <f>ROUND(IF($H$24&lt;=0,0,MIN(VisaMinPayment,$H$24+$I$24)),2)</f>
        <v>222.0</v>
      </c>
      <c r="K24" s="13">
        <f>ROUND(IF($H$24&lt;=0,0,MIN(MAX(0,$H$24+$I$24-$J$24),MAX(0,$W$24-$F$24))),2)</f>
        <v>385.0</v>
      </c>
      <c r="L24" s="13">
        <f>ROUND(MAX(0,$H$24+$I$24-$J$24-$K$24),2)</f>
        <v>991.14</v>
      </c>
      <c r="M24" s="13">
        <f>$Q$23</f>
        <v>2031.75</v>
      </c>
      <c r="N24" s="13">
        <f>ROUND(IF($M$24&lt;=0,0,$M$24*IF(A24&lt;=PromoPromoMonths,PromoIntroAPR,PromoResetAPR)/12),2)</f>
        <v>49.08</v>
      </c>
      <c r="O24" s="13">
        <f>ROUND(IF($M$24&lt;=0,0,MIN(PromoMinPayment,$M$24+$N$24)),2)</f>
        <v>116.0</v>
      </c>
      <c r="P24" s="13">
        <f>ROUND(IF($M$24&lt;=0,0,MIN(MAX(0,$M$24+$N$24-$O$24),MAX(0,$W$24-$F$24-$K$24))),2)</f>
        <v>0.0</v>
      </c>
      <c r="Q24" s="13">
        <f>ROUND(MAX(0,$M$24+$N$24-$O$24-$P$24),2)</f>
        <v>1964.83</v>
      </c>
      <c r="R24" s="13">
        <f>$V$23</f>
        <v>4653.94</v>
      </c>
      <c r="S24" s="13">
        <f>ROUND(IF($R$24&lt;=0,0,$R$24*IF(A24&lt;=MastercardPromoMonths,MastercardIntroAPR,MastercardResetAPR)/12),2)</f>
        <v>96.92</v>
      </c>
      <c r="T24" s="13">
        <f>ROUND(IF($R$24&lt;=0,0,MIN(MastercardMinPayment,$R$24+$S$24)),2)</f>
        <v>177.0</v>
      </c>
      <c r="U24" s="13">
        <f>ROUND(IF($R$24&lt;=0,0,MIN(MAX(0,$R$24+$S$24-$T$24),MAX(0,$W$24-$F$24-$K$24-$P$24))),2)</f>
        <v>0.0</v>
      </c>
      <c r="V24" s="13">
        <f>ROUND(MAX(0,$R$24+$S$24-$T$24-$U$24),2)</f>
        <v>4573.86</v>
      </c>
      <c r="W24" s="13">
        <f>ROUND(ExtraPayment+IF($G$23&lt;=0,StoreMinPayment,0)+IF($L$23&lt;=0,VisaMinPayment,0)+IF($Q$23&lt;=0,PromoMinPayment,0)+IF($V$23&lt;=0,MastercardMinPayment,0),2)</f>
        <v>385.0</v>
      </c>
      <c r="X24" s="13">
        <f>ROUND(SUM($D$24,$I$24,$N$24,$S$24),2)</f>
        <v>184.97</v>
      </c>
      <c r="Y24" s="13">
        <f>ROUND(SUM($G$24,$L$24,$Q$24,$V$24),2)</f>
        <v>7529.83</v>
      </c>
    </row>
    <row r="25" spans="1:25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ROUND(IF($C$25&lt;=0,0,$C$25*IF(A25&lt;=StorePromoMonths,StoreIntroAPR,StoreResetAPR)/12),2)</f>
        <v>0.0</v>
      </c>
      <c r="E25" s="13">
        <f>ROUND(IF($C$25&lt;=0,0,MIN(StoreMinPayment,$C$25+$D$25)),2)</f>
        <v>0.0</v>
      </c>
      <c r="F25" s="13">
        <f>ROUND(IF($C$25&lt;=0,0,MIN(MAX(0,$C$25+$D$25-$E$25),$W$25)),2)</f>
        <v>0.0</v>
      </c>
      <c r="G25" s="13">
        <f>ROUND(MAX(0,$C$25+$D$25-$E$25-$F$25),2)</f>
        <v>0.0</v>
      </c>
      <c r="H25" s="13">
        <f>$L$24</f>
        <v>991.14</v>
      </c>
      <c r="I25" s="13">
        <f>ROUND(IF($H$25&lt;=0,0,$H$25*IF(A25&lt;=VisaPromoMonths,VisaIntroAPR,VisaResetAPR)/12),2)</f>
        <v>24.77</v>
      </c>
      <c r="J25" s="13">
        <f>ROUND(IF($H$25&lt;=0,0,MIN(VisaMinPayment,$H$25+$I$25)),2)</f>
        <v>222.0</v>
      </c>
      <c r="K25" s="13">
        <f>ROUND(IF($H$25&lt;=0,0,MIN(MAX(0,$H$25+$I$25-$J$25),MAX(0,$W$25-$F$25))),2)</f>
        <v>385.0</v>
      </c>
      <c r="L25" s="13">
        <f>ROUND(MAX(0,$H$25+$I$25-$J$25-$K$25),2)</f>
        <v>408.91</v>
      </c>
      <c r="M25" s="13">
        <f>$Q$24</f>
        <v>1964.83</v>
      </c>
      <c r="N25" s="13">
        <f>ROUND(IF($M$25&lt;=0,0,$M$25*IF(A25&lt;=PromoPromoMonths,PromoIntroAPR,PromoResetAPR)/12),2)</f>
        <v>47.47</v>
      </c>
      <c r="O25" s="13">
        <f>ROUND(IF($M$25&lt;=0,0,MIN(PromoMinPayment,$M$25+$N$25)),2)</f>
        <v>116.0</v>
      </c>
      <c r="P25" s="13">
        <f>ROUND(IF($M$25&lt;=0,0,MIN(MAX(0,$M$25+$N$25-$O$25),MAX(0,$W$25-$F$25-$K$25))),2)</f>
        <v>0.0</v>
      </c>
      <c r="Q25" s="13">
        <f>ROUND(MAX(0,$M$25+$N$25-$O$25-$P$25),2)</f>
        <v>1896.3</v>
      </c>
      <c r="R25" s="13">
        <f>$V$24</f>
        <v>4573.86</v>
      </c>
      <c r="S25" s="13">
        <f>ROUND(IF($R$25&lt;=0,0,$R$25*IF(A25&lt;=MastercardPromoMonths,MastercardIntroAPR,MastercardResetAPR)/12),2)</f>
        <v>95.25</v>
      </c>
      <c r="T25" s="13">
        <f>ROUND(IF($R$25&lt;=0,0,MIN(MastercardMinPayment,$R$25+$S$25)),2)</f>
        <v>177.0</v>
      </c>
      <c r="U25" s="13">
        <f>ROUND(IF($R$25&lt;=0,0,MIN(MAX(0,$R$25+$S$25-$T$25),MAX(0,$W$25-$F$25-$K$25-$P$25))),2)</f>
        <v>0.0</v>
      </c>
      <c r="V25" s="13">
        <f>ROUND(MAX(0,$R$25+$S$25-$T$25-$U$25),2)</f>
        <v>4492.11</v>
      </c>
      <c r="W25" s="13">
        <f>ROUND(ExtraPayment+IF($G$24&lt;=0,StoreMinPayment,0)+IF($L$24&lt;=0,VisaMinPayment,0)+IF($Q$24&lt;=0,PromoMinPayment,0)+IF($V$24&lt;=0,MastercardMinPayment,0),2)</f>
        <v>385.0</v>
      </c>
      <c r="X25" s="13">
        <f>ROUND(SUM($D$25,$I$25,$N$25,$S$25),2)</f>
        <v>167.49</v>
      </c>
      <c r="Y25" s="13">
        <f>ROUND(SUM($G$25,$L$25,$Q$25,$V$25),2)</f>
        <v>6797.32</v>
      </c>
    </row>
    <row r="26" spans="1:25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ROUND(IF($C$26&lt;=0,0,$C$26*IF(A26&lt;=StorePromoMonths,StoreIntroAPR,StoreResetAPR)/12),2)</f>
        <v>0.0</v>
      </c>
      <c r="E26" s="13">
        <f>ROUND(IF($C$26&lt;=0,0,MIN(StoreMinPayment,$C$26+$D$26)),2)</f>
        <v>0.0</v>
      </c>
      <c r="F26" s="13">
        <f>ROUND(IF($C$26&lt;=0,0,MIN(MAX(0,$C$26+$D$26-$E$26),$W$26)),2)</f>
        <v>0.0</v>
      </c>
      <c r="G26" s="13">
        <f>ROUND(MAX(0,$C$26+$D$26-$E$26-$F$26),2)</f>
        <v>0.0</v>
      </c>
      <c r="H26" s="13">
        <f>$L$25</f>
        <v>408.91</v>
      </c>
      <c r="I26" s="13">
        <f>ROUND(IF($H$26&lt;=0,0,$H$26*IF(A26&lt;=VisaPromoMonths,VisaIntroAPR,VisaResetAPR)/12),2)</f>
        <v>10.22</v>
      </c>
      <c r="J26" s="13">
        <f>ROUND(IF($H$26&lt;=0,0,MIN(VisaMinPayment,$H$26+$I$26)),2)</f>
        <v>222.0</v>
      </c>
      <c r="K26" s="13">
        <f>ROUND(IF($H$26&lt;=0,0,MIN(MAX(0,$H$26+$I$26-$J$26),MAX(0,$W$26-$F$26))),2)</f>
        <v>197.13</v>
      </c>
      <c r="L26" s="13">
        <f>ROUND(MAX(0,$H$26+$I$26-$J$26-$K$26),2)</f>
        <v>0.0</v>
      </c>
      <c r="M26" s="13">
        <f>$Q$25</f>
        <v>1896.3</v>
      </c>
      <c r="N26" s="13">
        <f>ROUND(IF($M$26&lt;=0,0,$M$26*IF(A26&lt;=PromoPromoMonths,PromoIntroAPR,PromoResetAPR)/12),2)</f>
        <v>45.81</v>
      </c>
      <c r="O26" s="13">
        <f>ROUND(IF($M$26&lt;=0,0,MIN(PromoMinPayment,$M$26+$N$26)),2)</f>
        <v>116.0</v>
      </c>
      <c r="P26" s="13">
        <f>ROUND(IF($M$26&lt;=0,0,MIN(MAX(0,$M$26+$N$26-$O$26),MAX(0,$W$26-$F$26-$K$26))),2)</f>
        <v>187.87</v>
      </c>
      <c r="Q26" s="13">
        <f>ROUND(MAX(0,$M$26+$N$26-$O$26-$P$26),2)</f>
        <v>1638.24</v>
      </c>
      <c r="R26" s="13">
        <f>$V$25</f>
        <v>4492.11</v>
      </c>
      <c r="S26" s="13">
        <f>ROUND(IF($R$26&lt;=0,0,$R$26*IF(A26&lt;=MastercardPromoMonths,MastercardIntroAPR,MastercardResetAPR)/12),2)</f>
        <v>93.55</v>
      </c>
      <c r="T26" s="13">
        <f>ROUND(IF($R$26&lt;=0,0,MIN(MastercardMinPayment,$R$26+$S$26)),2)</f>
        <v>177.0</v>
      </c>
      <c r="U26" s="13">
        <f>ROUND(IF($R$26&lt;=0,0,MIN(MAX(0,$R$26+$S$26-$T$26),MAX(0,$W$26-$F$26-$K$26-$P$26))),2)</f>
        <v>0.0</v>
      </c>
      <c r="V26" s="13">
        <f>ROUND(MAX(0,$R$26+$S$26-$T$26-$U$26),2)</f>
        <v>4408.66</v>
      </c>
      <c r="W26" s="13">
        <f>ROUND(ExtraPayment+IF($G$25&lt;=0,StoreMinPayment,0)+IF($L$25&lt;=0,VisaMinPayment,0)+IF($Q$25&lt;=0,PromoMinPayment,0)+IF($V$25&lt;=0,MastercardMinPayment,0),2)</f>
        <v>385.0</v>
      </c>
      <c r="X26" s="13">
        <f>ROUND(SUM($D$26,$I$26,$N$26,$S$26),2)</f>
        <v>149.58</v>
      </c>
      <c r="Y26" s="13">
        <f>ROUND(SUM($G$26,$L$26,$Q$26,$V$26),2)</f>
        <v>6046.9</v>
      </c>
    </row>
    <row r="27" spans="1:25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ROUND(IF($C$27&lt;=0,0,$C$27*IF(A27&lt;=StorePromoMonths,StoreIntroAPR,StoreResetAPR)/12),2)</f>
        <v>0.0</v>
      </c>
      <c r="E27" s="13">
        <f>ROUND(IF($C$27&lt;=0,0,MIN(StoreMinPayment,$C$27+$D$27)),2)</f>
        <v>0.0</v>
      </c>
      <c r="F27" s="13">
        <f>ROUND(IF($C$27&lt;=0,0,MIN(MAX(0,$C$27+$D$27-$E$27),$W$27)),2)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ROUND(IF($H$27&lt;=0,0,$H$27*IF(A27&lt;=VisaPromoMonths,VisaIntroAPR,VisaResetAPR)/12),2)</f>
        <v>0.0</v>
      </c>
      <c r="J27" s="13">
        <f>ROUND(IF($H$27&lt;=0,0,MIN(VisaMinPayment,$H$27+$I$27)),2)</f>
        <v>0.0</v>
      </c>
      <c r="K27" s="13">
        <f>ROUND(IF($H$27&lt;=0,0,MIN(MAX(0,$H$27+$I$27-$J$27),MAX(0,$W$27-$F$27))),2)</f>
        <v>0.0</v>
      </c>
      <c r="L27" s="13">
        <f>ROUND(MAX(0,$H$27+$I$27-$J$27-$K$27),2)</f>
        <v>0.0</v>
      </c>
      <c r="M27" s="13">
        <f>$Q$26</f>
        <v>1638.24</v>
      </c>
      <c r="N27" s="13">
        <f>ROUND(IF($M$27&lt;=0,0,$M$27*IF(A27&lt;=PromoPromoMonths,PromoIntroAPR,PromoResetAPR)/12),2)</f>
        <v>39.58</v>
      </c>
      <c r="O27" s="13">
        <f>ROUND(IF($M$27&lt;=0,0,MIN(PromoMinPayment,$M$27+$N$27)),2)</f>
        <v>116.0</v>
      </c>
      <c r="P27" s="13">
        <f>ROUND(IF($M$27&lt;=0,0,MIN(MAX(0,$M$27+$N$27-$O$27),MAX(0,$W$27-$F$27-$K$27))),2)</f>
        <v>607.0</v>
      </c>
      <c r="Q27" s="13">
        <f>ROUND(MAX(0,$M$27+$N$27-$O$27-$P$27),2)</f>
        <v>954.82</v>
      </c>
      <c r="R27" s="13">
        <f>$V$26</f>
        <v>4408.66</v>
      </c>
      <c r="S27" s="13">
        <f>ROUND(IF($R$27&lt;=0,0,$R$27*IF(A27&lt;=MastercardPromoMonths,MastercardIntroAPR,MastercardResetAPR)/12),2)</f>
        <v>91.81</v>
      </c>
      <c r="T27" s="13">
        <f>ROUND(IF($R$27&lt;=0,0,MIN(MastercardMinPayment,$R$27+$S$27)),2)</f>
        <v>177.0</v>
      </c>
      <c r="U27" s="13">
        <f>ROUND(IF($R$27&lt;=0,0,MIN(MAX(0,$R$27+$S$27-$T$27),MAX(0,$W$27-$F$27-$K$27-$P$27))),2)</f>
        <v>0.0</v>
      </c>
      <c r="V27" s="13">
        <f>ROUND(MAX(0,$R$27+$S$27-$T$27-$U$27),2)</f>
        <v>4323.47</v>
      </c>
      <c r="W27" s="13">
        <f>ROUND(ExtraPayment+IF($G$26&lt;=0,StoreMinPayment,0)+IF($L$26&lt;=0,VisaMinPayment,0)+IF($Q$26&lt;=0,PromoMinPayment,0)+IF($V$26&lt;=0,MastercardMinPayment,0),2)</f>
        <v>607.0</v>
      </c>
      <c r="X27" s="13">
        <f>ROUND(SUM($D$27,$I$27,$N$27,$S$27),2)</f>
        <v>131.39</v>
      </c>
      <c r="Y27" s="13">
        <f>ROUND(SUM($G$27,$L$27,$Q$27,$V$27),2)</f>
        <v>5278.29</v>
      </c>
    </row>
    <row r="28" spans="1:25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ROUND(IF($C$28&lt;=0,0,$C$28*IF(A28&lt;=StorePromoMonths,StoreIntroAPR,StoreResetAPR)/12),2)</f>
        <v>0.0</v>
      </c>
      <c r="E28" s="13">
        <f>ROUND(IF($C$28&lt;=0,0,MIN(StoreMinPayment,$C$28+$D$28)),2)</f>
        <v>0.0</v>
      </c>
      <c r="F28" s="13">
        <f>ROUND(IF($C$28&lt;=0,0,MIN(MAX(0,$C$28+$D$28-$E$28),$W$28)),2)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ROUND(IF($H$28&lt;=0,0,$H$28*IF(A28&lt;=VisaPromoMonths,VisaIntroAPR,VisaResetAPR)/12),2)</f>
        <v>0.0</v>
      </c>
      <c r="J28" s="13">
        <f>ROUND(IF($H$28&lt;=0,0,MIN(VisaMinPayment,$H$28+$I$28)),2)</f>
        <v>0.0</v>
      </c>
      <c r="K28" s="13">
        <f>ROUND(IF($H$28&lt;=0,0,MIN(MAX(0,$H$28+$I$28-$J$28),MAX(0,$W$28-$F$28))),2)</f>
        <v>0.0</v>
      </c>
      <c r="L28" s="13">
        <f>ROUND(MAX(0,$H$28+$I$28-$J$28-$K$28),2)</f>
        <v>0.0</v>
      </c>
      <c r="M28" s="13">
        <f>$Q$27</f>
        <v>954.82</v>
      </c>
      <c r="N28" s="13">
        <f>ROUND(IF($M$28&lt;=0,0,$M$28*IF(A28&lt;=PromoPromoMonths,PromoIntroAPR,PromoResetAPR)/12),2)</f>
        <v>23.07</v>
      </c>
      <c r="O28" s="13">
        <f>ROUND(IF($M$28&lt;=0,0,MIN(PromoMinPayment,$M$28+$N$28)),2)</f>
        <v>116.0</v>
      </c>
      <c r="P28" s="13">
        <f>ROUND(IF($M$28&lt;=0,0,MIN(MAX(0,$M$28+$N$28-$O$28),MAX(0,$W$28-$F$28-$K$28))),2)</f>
        <v>607.0</v>
      </c>
      <c r="Q28" s="13">
        <f>ROUND(MAX(0,$M$28+$N$28-$O$28-$P$28),2)</f>
        <v>254.89</v>
      </c>
      <c r="R28" s="13">
        <f>$V$27</f>
        <v>4323.47</v>
      </c>
      <c r="S28" s="13">
        <f>ROUND(IF($R$28&lt;=0,0,$R$28*IF(A28&lt;=MastercardPromoMonths,MastercardIntroAPR,MastercardResetAPR)/12),2)</f>
        <v>90.04</v>
      </c>
      <c r="T28" s="13">
        <f>ROUND(IF($R$28&lt;=0,0,MIN(MastercardMinPayment,$R$28+$S$28)),2)</f>
        <v>177.0</v>
      </c>
      <c r="U28" s="13">
        <f>ROUND(IF($R$28&lt;=0,0,MIN(MAX(0,$R$28+$S$28-$T$28),MAX(0,$W$28-$F$28-$K$28-$P$28))),2)</f>
        <v>0.0</v>
      </c>
      <c r="V28" s="13">
        <f>ROUND(MAX(0,$R$28+$S$28-$T$28-$U$28),2)</f>
        <v>4236.51</v>
      </c>
      <c r="W28" s="13">
        <f>ROUND(ExtraPayment+IF($G$27&lt;=0,StoreMinPayment,0)+IF($L$27&lt;=0,VisaMinPayment,0)+IF($Q$27&lt;=0,PromoMinPayment,0)+IF($V$27&lt;=0,MastercardMinPayment,0),2)</f>
        <v>607.0</v>
      </c>
      <c r="X28" s="13">
        <f>ROUND(SUM($D$28,$I$28,$N$28,$S$28),2)</f>
        <v>113.11</v>
      </c>
      <c r="Y28" s="13">
        <f>ROUND(SUM($G$28,$L$28,$Q$28,$V$28),2)</f>
        <v>4491.4</v>
      </c>
    </row>
    <row r="29" spans="1:25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ROUND(IF($C$29&lt;=0,0,$C$29*IF(A29&lt;=StorePromoMonths,StoreIntroAPR,StoreResetAPR)/12),2)</f>
        <v>0.0</v>
      </c>
      <c r="E29" s="13">
        <f>ROUND(IF($C$29&lt;=0,0,MIN(StoreMinPayment,$C$29+$D$29)),2)</f>
        <v>0.0</v>
      </c>
      <c r="F29" s="13">
        <f>ROUND(IF($C$29&lt;=0,0,MIN(MAX(0,$C$29+$D$29-$E$29),$W$29)),2)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ROUND(IF($H$29&lt;=0,0,$H$29*IF(A29&lt;=VisaPromoMonths,VisaIntroAPR,VisaResetAPR)/12),2)</f>
        <v>0.0</v>
      </c>
      <c r="J29" s="13">
        <f>ROUND(IF($H$29&lt;=0,0,MIN(VisaMinPayment,$H$29+$I$29)),2)</f>
        <v>0.0</v>
      </c>
      <c r="K29" s="13">
        <f>ROUND(IF($H$29&lt;=0,0,MIN(MAX(0,$H$29+$I$29-$J$29),MAX(0,$W$29-$F$29))),2)</f>
        <v>0.0</v>
      </c>
      <c r="L29" s="13">
        <f>ROUND(MAX(0,$H$29+$I$29-$J$29-$K$29),2)</f>
        <v>0.0</v>
      </c>
      <c r="M29" s="13">
        <f>$Q$28</f>
        <v>254.89</v>
      </c>
      <c r="N29" s="13">
        <f>ROUND(IF($M$29&lt;=0,0,$M$29*IF(A29&lt;=PromoPromoMonths,PromoIntroAPR,PromoResetAPR)/12),2)</f>
        <v>6.16</v>
      </c>
      <c r="O29" s="13">
        <f>ROUND(IF($M$29&lt;=0,0,MIN(PromoMinPayment,$M$29+$N$29)),2)</f>
        <v>116.0</v>
      </c>
      <c r="P29" s="13">
        <f>ROUND(IF($M$29&lt;=0,0,MIN(MAX(0,$M$29+$N$29-$O$29),MAX(0,$W$29-$F$29-$K$29))),2)</f>
        <v>145.05</v>
      </c>
      <c r="Q29" s="13">
        <f>ROUND(MAX(0,$M$29+$N$29-$O$29-$P$29),2)</f>
        <v>0.0</v>
      </c>
      <c r="R29" s="13">
        <f>$V$28</f>
        <v>4236.51</v>
      </c>
      <c r="S29" s="13">
        <f>ROUND(IF($R$29&lt;=0,0,$R$29*IF(A29&lt;=MastercardPromoMonths,MastercardIntroAPR,MastercardResetAPR)/12),2)</f>
        <v>88.23</v>
      </c>
      <c r="T29" s="13">
        <f>ROUND(IF($R$29&lt;=0,0,MIN(MastercardMinPayment,$R$29+$S$29)),2)</f>
        <v>177.0</v>
      </c>
      <c r="U29" s="13">
        <f>ROUND(IF($R$29&lt;=0,0,MIN(MAX(0,$R$29+$S$29-$T$29),MAX(0,$W$29-$F$29-$K$29-$P$29))),2)</f>
        <v>461.95</v>
      </c>
      <c r="V29" s="13">
        <f>ROUND(MAX(0,$R$29+$S$29-$T$29-$U$29),2)</f>
        <v>3685.79</v>
      </c>
      <c r="W29" s="13">
        <f>ROUND(ExtraPayment+IF($G$28&lt;=0,StoreMinPayment,0)+IF($L$28&lt;=0,VisaMinPayment,0)+IF($Q$28&lt;=0,PromoMinPayment,0)+IF($V$28&lt;=0,MastercardMinPayment,0),2)</f>
        <v>607.0</v>
      </c>
      <c r="X29" s="13">
        <f>ROUND(SUM($D$29,$I$29,$N$29,$S$29),2)</f>
        <v>94.39</v>
      </c>
      <c r="Y29" s="13">
        <f>ROUND(SUM($G$29,$L$29,$Q$29,$V$29),2)</f>
        <v>3685.79</v>
      </c>
    </row>
    <row r="30" spans="1:25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ROUND(IF($C$30&lt;=0,0,$C$30*IF(A30&lt;=StorePromoMonths,StoreIntroAPR,StoreResetAPR)/12),2)</f>
        <v>0.0</v>
      </c>
      <c r="E30" s="13">
        <f>ROUND(IF($C$30&lt;=0,0,MIN(StoreMinPayment,$C$30+$D$30)),2)</f>
        <v>0.0</v>
      </c>
      <c r="F30" s="13">
        <f>ROUND(IF($C$30&lt;=0,0,MIN(MAX(0,$C$30+$D$30-$E$30),$W$30)),2)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ROUND(IF($H$30&lt;=0,0,$H$30*IF(A30&lt;=VisaPromoMonths,VisaIntroAPR,VisaResetAPR)/12),2)</f>
        <v>0.0</v>
      </c>
      <c r="J30" s="13">
        <f>ROUND(IF($H$30&lt;=0,0,MIN(VisaMinPayment,$H$30+$I$30)),2)</f>
        <v>0.0</v>
      </c>
      <c r="K30" s="13">
        <f>ROUND(IF($H$30&lt;=0,0,MIN(MAX(0,$H$30+$I$30-$J$30),MAX(0,$W$30-$F$30))),2)</f>
        <v>0.0</v>
      </c>
      <c r="L30" s="13">
        <f>ROUND(MAX(0,$H$30+$I$30-$J$30-$K$30),2)</f>
        <v>0.0</v>
      </c>
      <c r="M30" s="13">
        <f>$Q$29</f>
        <v>0.0</v>
      </c>
      <c r="N30" s="13">
        <f>ROUND(IF($M$30&lt;=0,0,$M$30*IF(A30&lt;=PromoPromoMonths,PromoIntroAPR,PromoResetAPR)/12),2)</f>
        <v>0.0</v>
      </c>
      <c r="O30" s="13">
        <f>ROUND(IF($M$30&lt;=0,0,MIN(PromoMinPayment,$M$30+$N$30)),2)</f>
        <v>0.0</v>
      </c>
      <c r="P30" s="13">
        <f>ROUND(IF($M$30&lt;=0,0,MIN(MAX(0,$M$30+$N$30-$O$30),MAX(0,$W$30-$F$30-$K$30))),2)</f>
        <v>0.0</v>
      </c>
      <c r="Q30" s="13">
        <f>ROUND(MAX(0,$M$30+$N$30-$O$30-$P$30),2)</f>
        <v>0.0</v>
      </c>
      <c r="R30" s="13">
        <f>$V$29</f>
        <v>3685.79</v>
      </c>
      <c r="S30" s="13">
        <f>ROUND(IF($R$30&lt;=0,0,$R$30*IF(A30&lt;=MastercardPromoMonths,MastercardIntroAPR,MastercardResetAPR)/12),2)</f>
        <v>76.76</v>
      </c>
      <c r="T30" s="13">
        <f>ROUND(IF($R$30&lt;=0,0,MIN(MastercardMinPayment,$R$30+$S$30)),2)</f>
        <v>177.0</v>
      </c>
      <c r="U30" s="13">
        <f>ROUND(IF($R$30&lt;=0,0,MIN(MAX(0,$R$30+$S$30-$T$30),MAX(0,$W$30-$F$30-$K$30-$P$30))),2)</f>
        <v>723.0</v>
      </c>
      <c r="V30" s="13">
        <f>ROUND(MAX(0,$R$30+$S$30-$T$30-$U$30),2)</f>
        <v>2862.55</v>
      </c>
      <c r="W30" s="13">
        <f>ROUND(ExtraPayment+IF($G$29&lt;=0,StoreMinPayment,0)+IF($L$29&lt;=0,VisaMinPayment,0)+IF($Q$29&lt;=0,PromoMinPayment,0)+IF($V$29&lt;=0,MastercardMinPayment,0),2)</f>
        <v>723.0</v>
      </c>
      <c r="X30" s="13">
        <f>ROUND(SUM($D$30,$I$30,$N$30,$S$30),2)</f>
        <v>76.76</v>
      </c>
      <c r="Y30" s="13">
        <f>ROUND(SUM($G$30,$L$30,$Q$30,$V$30),2)</f>
        <v>2862.55</v>
      </c>
    </row>
    <row r="31" spans="1:25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ROUND(IF($C$31&lt;=0,0,$C$31*IF(A31&lt;=StorePromoMonths,StoreIntroAPR,StoreResetAPR)/12),2)</f>
        <v>0.0</v>
      </c>
      <c r="E31" s="13">
        <f>ROUND(IF($C$31&lt;=0,0,MIN(StoreMinPayment,$C$31+$D$31)),2)</f>
        <v>0.0</v>
      </c>
      <c r="F31" s="13">
        <f>ROUND(IF($C$31&lt;=0,0,MIN(MAX(0,$C$31+$D$31-$E$31),$W$31)),2)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ROUND(IF($H$31&lt;=0,0,$H$31*IF(A31&lt;=VisaPromoMonths,VisaIntroAPR,VisaResetAPR)/12),2)</f>
        <v>0.0</v>
      </c>
      <c r="J31" s="13">
        <f>ROUND(IF($H$31&lt;=0,0,MIN(VisaMinPayment,$H$31+$I$31)),2)</f>
        <v>0.0</v>
      </c>
      <c r="K31" s="13">
        <f>ROUND(IF($H$31&lt;=0,0,MIN(MAX(0,$H$31+$I$31-$J$31),MAX(0,$W$31-$F$31))),2)</f>
        <v>0.0</v>
      </c>
      <c r="L31" s="13">
        <f>ROUND(MAX(0,$H$31+$I$31-$J$31-$K$31),2)</f>
        <v>0.0</v>
      </c>
      <c r="M31" s="13">
        <f>$Q$30</f>
        <v>0.0</v>
      </c>
      <c r="N31" s="13">
        <f>ROUND(IF($M$31&lt;=0,0,$M$31*IF(A31&lt;=PromoPromoMonths,PromoIntroAPR,PromoResetAPR)/12),2)</f>
        <v>0.0</v>
      </c>
      <c r="O31" s="13">
        <f>ROUND(IF($M$31&lt;=0,0,MIN(PromoMinPayment,$M$31+$N$31)),2)</f>
        <v>0.0</v>
      </c>
      <c r="P31" s="13">
        <f>ROUND(IF($M$31&lt;=0,0,MIN(MAX(0,$M$31+$N$31-$O$31),MAX(0,$W$31-$F$31-$K$31))),2)</f>
        <v>0.0</v>
      </c>
      <c r="Q31" s="13">
        <f>ROUND(MAX(0,$M$31+$N$31-$O$31-$P$31),2)</f>
        <v>0.0</v>
      </c>
      <c r="R31" s="13">
        <f>$V$30</f>
        <v>2862.55</v>
      </c>
      <c r="S31" s="13">
        <f>ROUND(IF($R$31&lt;=0,0,$R$31*IF(A31&lt;=MastercardPromoMonths,MastercardIntroAPR,MastercardResetAPR)/12),2)</f>
        <v>59.61</v>
      </c>
      <c r="T31" s="13">
        <f>ROUND(IF($R$31&lt;=0,0,MIN(MastercardMinPayment,$R$31+$S$31)),2)</f>
        <v>177.0</v>
      </c>
      <c r="U31" s="13">
        <f>ROUND(IF($R$31&lt;=0,0,MIN(MAX(0,$R$31+$S$31-$T$31),MAX(0,$W$31-$F$31-$K$31-$P$31))),2)</f>
        <v>723.0</v>
      </c>
      <c r="V31" s="13">
        <f>ROUND(MAX(0,$R$31+$S$31-$T$31-$U$31),2)</f>
        <v>2022.16</v>
      </c>
      <c r="W31" s="13">
        <f>ROUND(ExtraPayment+IF($G$30&lt;=0,StoreMinPayment,0)+IF($L$30&lt;=0,VisaMinPayment,0)+IF($Q$30&lt;=0,PromoMinPayment,0)+IF($V$30&lt;=0,MastercardMinPayment,0),2)</f>
        <v>723.0</v>
      </c>
      <c r="X31" s="13">
        <f>ROUND(SUM($D$31,$I$31,$N$31,$S$31),2)</f>
        <v>59.61</v>
      </c>
      <c r="Y31" s="13">
        <f>ROUND(SUM($G$31,$L$31,$Q$31,$V$31),2)</f>
        <v>2022.16</v>
      </c>
    </row>
    <row r="32" spans="1:25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ROUND(IF($C$32&lt;=0,0,$C$32*IF(A32&lt;=StorePromoMonths,StoreIntroAPR,StoreResetAPR)/12),2)</f>
        <v>0.0</v>
      </c>
      <c r="E32" s="13">
        <f>ROUND(IF($C$32&lt;=0,0,MIN(StoreMinPayment,$C$32+$D$32)),2)</f>
        <v>0.0</v>
      </c>
      <c r="F32" s="13">
        <f>ROUND(IF($C$32&lt;=0,0,MIN(MAX(0,$C$32+$D$32-$E$32),$W$32)),2)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ROUND(IF($H$32&lt;=0,0,$H$32*IF(A32&lt;=VisaPromoMonths,VisaIntroAPR,VisaResetAPR)/12),2)</f>
        <v>0.0</v>
      </c>
      <c r="J32" s="13">
        <f>ROUND(IF($H$32&lt;=0,0,MIN(VisaMinPayment,$H$32+$I$32)),2)</f>
        <v>0.0</v>
      </c>
      <c r="K32" s="13">
        <f>ROUND(IF($H$32&lt;=0,0,MIN(MAX(0,$H$32+$I$32-$J$32),MAX(0,$W$32-$F$32))),2)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ROUND(IF($M$32&lt;=0,0,$M$32*IF(A32&lt;=PromoPromoMonths,PromoIntroAPR,PromoResetAPR)/12),2)</f>
        <v>0.0</v>
      </c>
      <c r="O32" s="13">
        <f>ROUND(IF($M$32&lt;=0,0,MIN(PromoMinPayment,$M$32+$N$32)),2)</f>
        <v>0.0</v>
      </c>
      <c r="P32" s="13">
        <f>ROUND(IF($M$32&lt;=0,0,MIN(MAX(0,$M$32+$N$32-$O$32),MAX(0,$W$32-$F$32-$K$32))),2)</f>
        <v>0.0</v>
      </c>
      <c r="Q32" s="13">
        <f>ROUND(MAX(0,$M$32+$N$32-$O$32-$P$32),2)</f>
        <v>0.0</v>
      </c>
      <c r="R32" s="13">
        <f>$V$31</f>
        <v>2022.16</v>
      </c>
      <c r="S32" s="13">
        <f>ROUND(IF($R$32&lt;=0,0,$R$32*IF(A32&lt;=MastercardPromoMonths,MastercardIntroAPR,MastercardResetAPR)/12),2)</f>
        <v>42.11</v>
      </c>
      <c r="T32" s="13">
        <f>ROUND(IF($R$32&lt;=0,0,MIN(MastercardMinPayment,$R$32+$S$32)),2)</f>
        <v>177.0</v>
      </c>
      <c r="U32" s="13">
        <f>ROUND(IF($R$32&lt;=0,0,MIN(MAX(0,$R$32+$S$32-$T$32),MAX(0,$W$32-$F$32-$K$32-$P$32))),2)</f>
        <v>723.0</v>
      </c>
      <c r="V32" s="13">
        <f>ROUND(MAX(0,$R$32+$S$32-$T$32-$U$32),2)</f>
        <v>1164.27</v>
      </c>
      <c r="W32" s="13">
        <f>ROUND(ExtraPayment+IF($G$31&lt;=0,StoreMinPayment,0)+IF($L$31&lt;=0,VisaMinPayment,0)+IF($Q$31&lt;=0,PromoMinPayment,0)+IF($V$31&lt;=0,MastercardMinPayment,0),2)</f>
        <v>723.0</v>
      </c>
      <c r="X32" s="13">
        <f>ROUND(SUM($D$32,$I$32,$N$32,$S$32),2)</f>
        <v>42.11</v>
      </c>
      <c r="Y32" s="13">
        <f>ROUND(SUM($G$32,$L$32,$Q$32,$V$32),2)</f>
        <v>1164.27</v>
      </c>
    </row>
    <row r="33" spans="1:25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ROUND(IF($C$33&lt;=0,0,$C$33*IF(A33&lt;=StorePromoMonths,StoreIntroAPR,StoreResetAPR)/12),2)</f>
        <v>0.0</v>
      </c>
      <c r="E33" s="13">
        <f>ROUND(IF($C$33&lt;=0,0,MIN(StoreMinPayment,$C$33+$D$33)),2)</f>
        <v>0.0</v>
      </c>
      <c r="F33" s="13">
        <f>ROUND(IF($C$33&lt;=0,0,MIN(MAX(0,$C$33+$D$33-$E$33),$W$33)),2)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ROUND(IF($H$33&lt;=0,0,$H$33*IF(A33&lt;=VisaPromoMonths,VisaIntroAPR,VisaResetAPR)/12),2)</f>
        <v>0.0</v>
      </c>
      <c r="J33" s="13">
        <f>ROUND(IF($H$33&lt;=0,0,MIN(VisaMinPayment,$H$33+$I$33)),2)</f>
        <v>0.0</v>
      </c>
      <c r="K33" s="13">
        <f>ROUND(IF($H$33&lt;=0,0,MIN(MAX(0,$H$33+$I$33-$J$33),MAX(0,$W$33-$F$33))),2)</f>
        <v>0.0</v>
      </c>
      <c r="L33" s="13">
        <f>ROUND(MAX(0,$H$33+$I$33-$J$33-$K$33),2)</f>
        <v>0.0</v>
      </c>
      <c r="M33" s="13">
        <f>$Q$32</f>
        <v>0.0</v>
      </c>
      <c r="N33" s="13">
        <f>ROUND(IF($M$33&lt;=0,0,$M$33*IF(A33&lt;=PromoPromoMonths,PromoIntroAPR,PromoResetAPR)/12),2)</f>
        <v>0.0</v>
      </c>
      <c r="O33" s="13">
        <f>ROUND(IF($M$33&lt;=0,0,MIN(PromoMinPayment,$M$33+$N$33)),2)</f>
        <v>0.0</v>
      </c>
      <c r="P33" s="13">
        <f>ROUND(IF($M$33&lt;=0,0,MIN(MAX(0,$M$33+$N$33-$O$33),MAX(0,$W$33-$F$33-$K$33))),2)</f>
        <v>0.0</v>
      </c>
      <c r="Q33" s="13">
        <f>ROUND(MAX(0,$M$33+$N$33-$O$33-$P$33),2)</f>
        <v>0.0</v>
      </c>
      <c r="R33" s="13">
        <f>$V$32</f>
        <v>1164.27</v>
      </c>
      <c r="S33" s="13">
        <f>ROUND(IF($R$33&lt;=0,0,$R$33*IF(A33&lt;=MastercardPromoMonths,MastercardIntroAPR,MastercardResetAPR)/12),2)</f>
        <v>24.25</v>
      </c>
      <c r="T33" s="13">
        <f>ROUND(IF($R$33&lt;=0,0,MIN(MastercardMinPayment,$R$33+$S$33)),2)</f>
        <v>177.0</v>
      </c>
      <c r="U33" s="13">
        <f>ROUND(IF($R$33&lt;=0,0,MIN(MAX(0,$R$33+$S$33-$T$33),MAX(0,$W$33-$F$33-$K$33-$P$33))),2)</f>
        <v>723.0</v>
      </c>
      <c r="V33" s="13">
        <f>ROUND(MAX(0,$R$33+$S$33-$T$33-$U$33),2)</f>
        <v>288.52</v>
      </c>
      <c r="W33" s="13">
        <f>ROUND(ExtraPayment+IF($G$32&lt;=0,StoreMinPayment,0)+IF($L$32&lt;=0,VisaMinPayment,0)+IF($Q$32&lt;=0,PromoMinPayment,0)+IF($V$32&lt;=0,MastercardMinPayment,0),2)</f>
        <v>723.0</v>
      </c>
      <c r="X33" s="13">
        <f>ROUND(SUM($D$33,$I$33,$N$33,$S$33),2)</f>
        <v>24.25</v>
      </c>
      <c r="Y33" s="13">
        <f>ROUND(SUM($G$33,$L$33,$Q$33,$V$33),2)</f>
        <v>288.52</v>
      </c>
    </row>
    <row r="34" spans="1:25">
      <c r="A34" s="17">
        <f>ROW()-3</f>
        <v>30</v>
      </c>
      <c r="B34" s="18" t="str">
        <f>TEXT(EDATE(StartDate,A34-1),"mmm yyyy")</f>
        <v>Sep 2028</v>
      </c>
      <c r="C34" s="13">
        <f>$G$33</f>
        <v>0.0</v>
      </c>
      <c r="D34" s="13">
        <f>ROUND(IF($C$34&lt;=0,0,$C$34*IF(A34&lt;=StorePromoMonths,StoreIntroAPR,StoreResetAPR)/12),2)</f>
        <v>0.0</v>
      </c>
      <c r="E34" s="13">
        <f>ROUND(IF($C$34&lt;=0,0,MIN(StoreMinPayment,$C$34+$D$34)),2)</f>
        <v>0.0</v>
      </c>
      <c r="F34" s="13">
        <f>ROUND(IF($C$34&lt;=0,0,MIN(MAX(0,$C$34+$D$34-$E$34),$W$34)),2)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ROUND(IF($H$34&lt;=0,0,$H$34*IF(A34&lt;=VisaPromoMonths,VisaIntroAPR,VisaResetAPR)/12),2)</f>
        <v>0.0</v>
      </c>
      <c r="J34" s="13">
        <f>ROUND(IF($H$34&lt;=0,0,MIN(VisaMinPayment,$H$34+$I$34)),2)</f>
        <v>0.0</v>
      </c>
      <c r="K34" s="13">
        <f>ROUND(IF($H$34&lt;=0,0,MIN(MAX(0,$H$34+$I$34-$J$34),MAX(0,$W$34-$F$34))),2)</f>
        <v>0.0</v>
      </c>
      <c r="L34" s="13">
        <f>ROUND(MAX(0,$H$34+$I$34-$J$34-$K$34),2)</f>
        <v>0.0</v>
      </c>
      <c r="M34" s="13">
        <f>$Q$33</f>
        <v>0.0</v>
      </c>
      <c r="N34" s="13">
        <f>ROUND(IF($M$34&lt;=0,0,$M$34*IF(A34&lt;=PromoPromoMonths,PromoIntroAPR,PromoResetAPR)/12),2)</f>
        <v>0.0</v>
      </c>
      <c r="O34" s="13">
        <f>ROUND(IF($M$34&lt;=0,0,MIN(PromoMinPayment,$M$34+$N$34)),2)</f>
        <v>0.0</v>
      </c>
      <c r="P34" s="13">
        <f>ROUND(IF($M$34&lt;=0,0,MIN(MAX(0,$M$34+$N$34-$O$34),MAX(0,$W$34-$F$34-$K$34))),2)</f>
        <v>0.0</v>
      </c>
      <c r="Q34" s="13">
        <f>ROUND(MAX(0,$M$34+$N$34-$O$34-$P$34),2)</f>
        <v>0.0</v>
      </c>
      <c r="R34" s="13">
        <f>$V$33</f>
        <v>288.52</v>
      </c>
      <c r="S34" s="13">
        <f>ROUND(IF($R$34&lt;=0,0,$R$34*IF(A34&lt;=MastercardPromoMonths,MastercardIntroAPR,MastercardResetAPR)/12),2)</f>
        <v>6.01</v>
      </c>
      <c r="T34" s="13">
        <f>ROUND(IF($R$34&lt;=0,0,MIN(MastercardMinPayment,$R$34+$S$34)),2)</f>
        <v>177.0</v>
      </c>
      <c r="U34" s="13">
        <f>ROUND(IF($R$34&lt;=0,0,MIN(MAX(0,$R$34+$S$34-$T$34),MAX(0,$W$34-$F$34-$K$34-$P$34))),2)</f>
        <v>117.53</v>
      </c>
      <c r="V34" s="13">
        <f>ROUND(MAX(0,$R$34+$S$34-$T$34-$U$34),2)</f>
        <v>0.0</v>
      </c>
      <c r="W34" s="13">
        <f>ROUND(ExtraPayment+IF($G$33&lt;=0,StoreMinPayment,0)+IF($L$33&lt;=0,VisaMinPayment,0)+IF($Q$33&lt;=0,PromoMinPayment,0)+IF($V$33&lt;=0,MastercardMinPayment,0),2)</f>
        <v>723.0</v>
      </c>
      <c r="X34" s="13">
        <f>ROUND(SUM($D$34,$I$34,$N$34,$S$34),2)</f>
        <v>6.01</v>
      </c>
      <c r="Y34" s="13">
        <f>ROUND(SUM($G$34,$L$34,$Q$34,$V$34),2)</f>
        <v>0.0</v>
      </c>
    </row>
  </sheetData>
  <mergeCells count="7">
    <mergeCell ref="A1:Y1"/>
    <mergeCell ref="C3:G3"/>
    <mergeCell ref="H3:L3"/>
    <mergeCell ref="M3:Q3"/>
    <mergeCell ref="R3:V3"/>
    <mergeCell ref="A2:Y2"/>
    <mergeCell ref="A3:B3"/>
  </mergeCells>
  <pageMargins left="0.7" right="0.7" top="0.75" bottom="0.75" header="0.3" footer="0.3"/>
  <headerFooter>
    <oddFooter>&amp;LCredit Card Payoff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0"/>
  <sheetViews>
    <sheetView workbookViewId="0"/>
  </sheetViews>
  <sheetFormatPr defaultRowHeight="15"/>
  <cols>
    <col min="1" max="1" width="24.7109375" customWidth="1"/>
    <col min="2" max="2" width="16.7109375" customWidth="1"/>
    <col min="3" max="6" width="15.7109375" customWidth="1"/>
    <col min="7" max="12" width="14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3">
      <c r="H4" s="2" t="s">
        <v>72</v>
      </c>
      <c r="I4" s="2"/>
    </row>
    <row r="5" spans="1:13">
      <c r="A5" s="14" t="s">
        <v>59</v>
      </c>
      <c r="B5" s="13">
        <f>TotalDebt</f>
        <v>19800.0</v>
      </c>
      <c r="H5" s="14" t="s">
        <v>73</v>
      </c>
      <c r="I5" s="13">
        <f>SUM(Monthly_Schedule!X5:X16)</f>
        <v>3794.54</v>
      </c>
    </row>
    <row r="6" spans="1:13">
      <c r="A6" s="14" t="s">
        <v>60</v>
      </c>
      <c r="B6" s="13">
        <f>TotalMinimums</f>
        <v>595.0</v>
      </c>
      <c r="H6" s="14" t="s">
        <v>74</v>
      </c>
      <c r="I6" s="13">
        <f>INDEX('Monthly_Schedule'!Y5:Y34,12)</f>
        <v>12794.54</v>
      </c>
    </row>
    <row r="7" spans="1:13">
      <c r="A7" s="14" t="s">
        <v>61</v>
      </c>
      <c r="B7" s="13">
        <f>ExtraPayment</f>
        <v>305.0</v>
      </c>
      <c r="H7" s="14" t="s">
        <v>75</v>
      </c>
      <c r="I7" s="18" t="s">
        <v>76</v>
      </c>
    </row>
    <row r="8" spans="1:13">
      <c r="A8" s="14" t="s">
        <v>44</v>
      </c>
      <c r="B8" s="13">
        <f>TotalMinimums+ExtraPayment</f>
        <v>900.0</v>
      </c>
      <c r="H8" s="14" t="s">
        <v>77</v>
      </c>
      <c r="I8" s="18" t="s">
        <v>78</v>
      </c>
    </row>
    <row r="9" spans="1:13">
      <c r="A9" s="14" t="s">
        <v>62</v>
      </c>
      <c r="B9" s="18" t="str">
        <f>TEXT(EDATE(StartDate,MATCH(0,'Monthly_Schedule'!Y5:Y34,0)-1),"mmmm yyyy")</f>
        <v>September 2028</v>
      </c>
    </row>
    <row r="10" spans="1:13">
      <c r="A10" s="14" t="s">
        <v>63</v>
      </c>
      <c r="B10" s="17">
        <f>MATCH(0,'Monthly_Schedule'!Y5:Y34,0)</f>
        <v>30</v>
      </c>
    </row>
    <row r="11" spans="1:13">
      <c r="A11" s="14" t="s">
        <v>64</v>
      </c>
      <c r="B11" s="13">
        <f>SUM(Monthly_Schedule!X5:X34)</f>
        <v>6594.53</v>
      </c>
    </row>
    <row r="12" spans="1:13">
      <c r="A12" s="14" t="s">
        <v>65</v>
      </c>
      <c r="B12" s="13">
        <f>INDEX('Monthly_Schedule'!Q5:Q34,12)</f>
        <v>2458.0</v>
      </c>
    </row>
    <row r="15" spans="1:13">
      <c r="A15" s="2" t="s">
        <v>66</v>
      </c>
      <c r="B15" s="2"/>
      <c r="C15" s="2"/>
      <c r="D15" s="2"/>
      <c r="E15" s="2"/>
      <c r="F15" s="2"/>
    </row>
    <row r="16" spans="1:13">
      <c r="A16" s="7" t="s">
        <v>67</v>
      </c>
      <c r="B16" s="7" t="s">
        <v>68</v>
      </c>
      <c r="C16" s="7" t="s">
        <v>28</v>
      </c>
      <c r="D16" s="7" t="s">
        <v>69</v>
      </c>
      <c r="E16" s="7" t="s">
        <v>70</v>
      </c>
      <c r="F16" s="7" t="s">
        <v>71</v>
      </c>
    </row>
    <row r="17" spans="1:6">
      <c r="A17" s="3" t="str">
        <f>Inputs!A5</f>
        <v>Store Card</v>
      </c>
      <c r="B17" s="19">
        <f>MAX(Inputs!C5,Inputs!D5)</f>
        <v>0.3199</v>
      </c>
      <c r="C17" s="17">
        <f>Inputs!E5</f>
        <v>0</v>
      </c>
      <c r="D17" s="3" t="str">
        <f>TEXT(EDATE(StartDate,MATCH(0,'Monthly_Schedule'!G5:G34,0)-1),"mmmm yyyy")</f>
        <v>November 2026</v>
      </c>
      <c r="E17" s="13">
        <f>SUM(Monthly_Schedule!D5:D34)</f>
        <v>317.57</v>
      </c>
      <c r="F17" s="20" t="str">
        <f>IF(D17&lt;&gt;"","Paid in plan","Open")</f>
        <v>Paid in plan</v>
      </c>
    </row>
    <row r="18" spans="1:6">
      <c r="A18" s="3" t="str">
        <f>Inputs!A6</f>
        <v>Travel Rewards Visa</v>
      </c>
      <c r="B18" s="19">
        <f>MAX(Inputs!C6,Inputs!D6)</f>
        <v>0.2999</v>
      </c>
      <c r="C18" s="17">
        <f>Inputs!E6</f>
        <v>0</v>
      </c>
      <c r="D18" s="3" t="str">
        <f>TEXT(EDATE(StartDate,MATCH(0,'Monthly_Schedule'!L5:L34,0)-1),"mmmm yyyy")</f>
        <v>January 2028</v>
      </c>
      <c r="E18" s="13">
        <f>SUM(Monthly_Schedule!I5:I34)</f>
        <v>2798.56</v>
      </c>
      <c r="F18" s="20" t="str">
        <f>IF(D18&lt;&gt;"","Paid in plan","Open")</f>
        <v>Paid in plan</v>
      </c>
    </row>
    <row r="19" spans="1:6">
      <c r="A19" s="3" t="str">
        <f>Inputs!A8</f>
        <v>Promo Purchase Card</v>
      </c>
      <c r="B19" s="19">
        <f>MAX(Inputs!C8,Inputs!D8)</f>
        <v>0.2899</v>
      </c>
      <c r="C19" s="17">
        <f>Inputs!E8</f>
        <v>12</v>
      </c>
      <c r="D19" s="3" t="str">
        <f>TEXT(EDATE(StartDate,MATCH(0,'Monthly_Schedule'!Q5:Q34,0)-1),"mmmm yyyy")</f>
        <v>April 2028</v>
      </c>
      <c r="E19" s="13">
        <f>SUM(Monthly_Schedule!N5:N34)</f>
        <v>596.92</v>
      </c>
      <c r="F19" s="20" t="str">
        <f>IF(D19&lt;&gt;"","Paid in plan","Open")</f>
        <v>Paid in plan</v>
      </c>
    </row>
    <row r="20" spans="1:6">
      <c r="A20" s="3" t="str">
        <f>Inputs!A7</f>
        <v>Everyday Mastercard</v>
      </c>
      <c r="B20" s="19">
        <f>MAX(Inputs!C7,Inputs!D7)</f>
        <v>0.2499</v>
      </c>
      <c r="C20" s="17">
        <f>Inputs!E7</f>
        <v>0</v>
      </c>
      <c r="D20" s="3" t="str">
        <f>TEXT(EDATE(StartDate,MATCH(0,'Monthly_Schedule'!V5:V34,0)-1),"mmmm yyyy")</f>
        <v>September 2028</v>
      </c>
      <c r="E20" s="13">
        <f>SUM(Monthly_Schedule!S5:S34)</f>
        <v>2881.48</v>
      </c>
      <c r="F20" s="20" t="str">
        <f>IF(D20&lt;&gt;"","Paid in plan","Open")</f>
        <v>Paid in plan</v>
      </c>
    </row>
  </sheetData>
  <mergeCells count="4">
    <mergeCell ref="A1:M1"/>
    <mergeCell ref="A2:L2"/>
    <mergeCell ref="A15:F15"/>
    <mergeCell ref="H4:I4"/>
  </mergeCells>
  <pageMargins left="0.7" right="0.7" top="0.75" bottom="0.75" header="0.3" footer="0.3"/>
  <headerFooter>
    <oddFooter>&amp;LCredit Card Payoff Dashboard&amp;CDebtPayoffSpreadsheet.org&amp;Rv1.0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79</v>
      </c>
      <c r="B2" s="1"/>
    </row>
    <row r="4" spans="1:2">
      <c r="A4" s="2" t="s">
        <v>80</v>
      </c>
      <c r="B4" s="21" t="s">
        <v>81</v>
      </c>
    </row>
    <row r="5" spans="1:2">
      <c r="B5" s="21" t="s">
        <v>82</v>
      </c>
    </row>
    <row r="7" spans="1:2">
      <c r="A7" s="2" t="s">
        <v>83</v>
      </c>
      <c r="B7" s="21" t="s">
        <v>84</v>
      </c>
    </row>
    <row r="8" spans="1:2">
      <c r="B8" s="21" t="s">
        <v>85</v>
      </c>
    </row>
    <row r="11" spans="1:2">
      <c r="A11" s="2" t="s">
        <v>86</v>
      </c>
      <c r="B11" s="5" t="s">
        <v>19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&amp;LCredit Card Payoff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Start_Here</vt:lpstr>
      <vt:lpstr>Inputs</vt:lpstr>
      <vt:lpstr>Monthly_Schedule</vt:lpstr>
      <vt:lpstr>Dashboard</vt:lpstr>
      <vt:lpstr>Bonus_Tips</vt:lpstr>
      <vt:lpstr>ExtraPayment</vt:lpstr>
      <vt:lpstr>MastercardBalance</vt:lpstr>
      <vt:lpstr>MastercardIntroAPR</vt:lpstr>
      <vt:lpstr>MastercardMinPayment</vt:lpstr>
      <vt:lpstr>MastercardPromoMonths</vt:lpstr>
      <vt:lpstr>MastercardResetAPR</vt:lpstr>
      <vt:lpstr>PromoBalance</vt:lpstr>
      <vt:lpstr>PromoIntroAPR</vt:lpstr>
      <vt:lpstr>PromoMinPayment</vt:lpstr>
      <vt:lpstr>PromoPromoMonths</vt:lpstr>
      <vt:lpstr>PromoResetAPR</vt:lpstr>
      <vt:lpstr>StartDate</vt:lpstr>
      <vt:lpstr>StoreBalance</vt:lpstr>
      <vt:lpstr>StoreIntroAPR</vt:lpstr>
      <vt:lpstr>StoreMinPayment</vt:lpstr>
      <vt:lpstr>StorePromoMonths</vt:lpstr>
      <vt:lpstr>StoreResetAPR</vt:lpstr>
      <vt:lpstr>TotalDebt</vt:lpstr>
      <vt:lpstr>TotalMinimums</vt:lpstr>
      <vt:lpstr>VisaBalance</vt:lpstr>
      <vt:lpstr>VisaIntroAPR</vt:lpstr>
      <vt:lpstr>VisaMinPayment</vt:lpstr>
      <vt:lpstr>VisaPromoMonths</vt:lpstr>
      <vt:lpstr>VisaResetAPR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2026-03-08T14:06:16Z</dcterms:created>
  <dcterms:modified xsi:type="dcterms:W3CDTF">2026-03-08T14:06:16Z</dcterms:modified>
</cp:coreProperties>
</file>