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Avalanche_Schedule" sheetId="3" r:id="rId3"/>
    <sheet name="Dashboard" sheetId="4" r:id="rId4"/>
    <sheet name="Bonus_Tips" sheetId="5" r:id="rId5"/>
  </sheets>
  <definedNames>
    <definedName name="AutoLoanAPR">Inputs!$C$9</definedName>
    <definedName name="AutoLoanBalance">Inputs!$B$9</definedName>
    <definedName name="AutoLoanMinPayment">Inputs!$D$9</definedName>
    <definedName name="ClinicPaymentPlanAPR">Inputs!$C$5</definedName>
    <definedName name="ClinicPaymentPlanBalance">Inputs!$B$5</definedName>
    <definedName name="ClinicPaymentPlanMinPayment">Inputs!$D$5</definedName>
    <definedName name="ExtraPayment">Inputs!$B$12</definedName>
    <definedName name="MastercardAPR">Inputs!$C$6</definedName>
    <definedName name="MastercardBalance">Inputs!$B$6</definedName>
    <definedName name="MastercardMinPayment">Inputs!$D$6</definedName>
    <definedName name="PersonalLoanAPR">Inputs!$C$8</definedName>
    <definedName name="PersonalLoanBalance">Inputs!$B$8</definedName>
    <definedName name="PersonalLoanMinPayment">Inputs!$D$8</definedName>
    <definedName name="StartDate">Inputs!$B$11</definedName>
    <definedName name="TotalDebt">Inputs!$B$10</definedName>
    <definedName name="TotalMinimums">Inputs!$D$10</definedName>
    <definedName name="VisaCardAPR">Inputs!$C$7</definedName>
    <definedName name="VisaCardBalance">Inputs!$B$7</definedName>
    <definedName name="VisaCardMinPayment">Inputs!$D$7</definedName>
  </definedNames>
  <calcPr calcId="124519" fullCalcOnLoad="1"/>
</workbook>
</file>

<file path=xl/sharedStrings.xml><?xml version="1.0" encoding="utf-8"?>
<sst xmlns="http://schemas.openxmlformats.org/spreadsheetml/2006/main" count="123" uniqueCount="85">
  <si>
    <t>Debt Payoff Calculator Dashboard</t>
  </si>
  <si>
    <t>Website</t>
  </si>
  <si>
    <t>Debt Payoff Spreadsheet</t>
  </si>
  <si>
    <t>Who It Helps</t>
  </si>
  <si>
    <t>A payoff snapshot for readers who want one dashboard view of the article scenario, including the debt-free month, total interest, and the month-by-month balance decline under an avalanche plan.</t>
  </si>
  <si>
    <t>About This Template</t>
  </si>
  <si>
    <t>This workbook models the exact five-debt calculator example used in the article, starting in April 2026 with an extra $300 each month.</t>
  </si>
  <si>
    <t>The schedule sheet rolls freed minimum payments forward automatically, which is why the monthly outlay grows after each debt disappears.</t>
  </si>
  <si>
    <t>The dashboard keeps the final numbers on one screen so the file opens screenshot-ready without filtering or scrolling.</t>
  </si>
  <si>
    <t>How to Use</t>
  </si>
  <si>
    <t>1. Review the Inputs sheet first so the balances, APRs, minimums, and extra payment match the article scenario or your own statements.</t>
  </si>
  <si>
    <t>2. Open the Avalanche_Schedule sheet if you want to inspect the month-by-month balance path behind the dashboard summary.</t>
  </si>
  <si>
    <t>3. Return to Dashboard to see the debt-free month, total interest paid, total amount paid, and the balance chart on one screen.</t>
  </si>
  <si>
    <t>4. Change any yellow input on the Inputs sheet to test a different payment amount or debt balance and let Excel recalculate the dashboard.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</si>
  <si>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</si>
  <si>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</si>
  <si>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</si>
  <si>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</si>
  <si>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</si>
  <si>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</si>
  <si>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</si>
  <si>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</si>
  <si>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Payoff Calculator Dashboard - DebtPayoffSpreadsheet.org</t>
  </si>
  <si>
    <t>Debt Inputs</t>
  </si>
  <si>
    <t>Debt Name</t>
  </si>
  <si>
    <t>Balance</t>
  </si>
  <si>
    <t>APR</t>
  </si>
  <si>
    <t>Min Payment</t>
  </si>
  <si>
    <t>Category</t>
  </si>
  <si>
    <t>Priority Note</t>
  </si>
  <si>
    <t>Clinic Payment Plan</t>
  </si>
  <si>
    <t>Payment plan</t>
  </si>
  <si>
    <t>Sample article scenario</t>
  </si>
  <si>
    <t>Mastercard</t>
  </si>
  <si>
    <t>Credit card</t>
  </si>
  <si>
    <t>Visa Card</t>
  </si>
  <si>
    <t>Personal Loan</t>
  </si>
  <si>
    <t>Installment</t>
  </si>
  <si>
    <t>Auto Loan</t>
  </si>
  <si>
    <t>Total</t>
  </si>
  <si>
    <t>Start Month</t>
  </si>
  <si>
    <t>Extra Monthly Payment</t>
  </si>
  <si>
    <t>This dashboard uses avalanche ordering, so the highest APR debt receives the full extra-payment stream first.</t>
  </si>
  <si>
    <t>Planned Monthly Outlay</t>
  </si>
  <si>
    <t>The 0.00% clinic payment plan still matters because its minimum payment affects how much cash is available for higher-rate debt.</t>
  </si>
  <si>
    <t>Begin</t>
  </si>
  <si>
    <t>Interest</t>
  </si>
  <si>
    <t>Minimum</t>
  </si>
  <si>
    <t>Extra</t>
  </si>
  <si>
    <t>End</t>
  </si>
  <si>
    <t>Avalanche Schedule</t>
  </si>
  <si>
    <t>Timeline</t>
  </si>
  <si>
    <t>Month</t>
  </si>
  <si>
    <t>Period</t>
  </si>
  <si>
    <t>Extra Pool</t>
  </si>
  <si>
    <t>Interest Total</t>
  </si>
  <si>
    <t>Balance Total</t>
  </si>
  <si>
    <t>Debt Payoff Calculator Results</t>
  </si>
  <si>
    <t>Avalanche Summary</t>
  </si>
  <si>
    <t>Debt-Free Month</t>
  </si>
  <si>
    <t>Months to Payoff</t>
  </si>
  <si>
    <t>Total Interest Paid</t>
  </si>
  <si>
    <t>Total Amount Paid</t>
  </si>
  <si>
    <t>Strategy</t>
  </si>
  <si>
    <t>Debt avalanche</t>
  </si>
  <si>
    <t>Extra Payment</t>
  </si>
  <si>
    <t>Minimums</t>
  </si>
  <si>
    <t>Monthly Outlay</t>
  </si>
  <si>
    <t>This sample reaches zero in 33 months because the extra payment and each freed minimum payment stay focused on the highest-APR debt until it is gone.</t>
  </si>
  <si>
    <t>Debt List</t>
  </si>
  <si>
    <t>Payoff Order</t>
  </si>
  <si>
    <t>Debt Payoff Calculator Dashboard Tips</t>
  </si>
  <si>
    <t>How To Read The Dashboard</t>
  </si>
  <si>
    <t>- Debt-free month is the first statement cycle where every ending balance hits $0.00 in the schedule sheet.</t>
  </si>
  <si>
    <t>- Total interest paid is the sum of each month's interest across all five debts, not an estimate rounded from APRs.</t>
  </si>
  <si>
    <t>- Monthly outlay combines current minimum payments and the extra $300 because both numbers matter for real cash flow.</t>
  </si>
  <si>
    <t>When The Timeline Changes Fast</t>
  </si>
  <si>
    <t>- Adding even a small amount to ExtraPayment moves the debt-free month sooner because every future month starts from a lower balance.</t>
  </si>
  <si>
    <t>- A higher credit-card APR changes the early months the most, since high-rate interest compounds while the balance is still large.</t>
  </si>
  <si>
    <t>- Paying off one debt ahead of schedule accelerates the rest of the plan because its minimum payment rolls forward automatically.</t>
  </si>
  <si>
    <t>Limits To Keep In Mind</t>
  </si>
  <si>
    <t>- This scenario assumes you stop adding new charges while the payoff plan is running.</t>
  </si>
  <si>
    <t>- If a promotional rate expires or a minimum payment formula changes, update the Inputs sheet before trusting the dashboard date.</t>
  </si>
  <si>
    <t>- Taxes, settlements, and debt-forgiveness issues are outside the scope of this calculator view and need separate review.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</si>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</sst>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Balance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Remaining balance</c:v>
          </c:tx>
          <c:spPr>
            <a:ln w="31750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Avalanche_Schedule!$B$5:$B$37</c:f>
              <c:strCache>
                <c:ptCount val="33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  <c:pt idx="30">
                  <c:v>Oct 2028</c:v>
                </c:pt>
                <c:pt idx="31">
                  <c:v>Nov 2028</c:v>
                </c:pt>
                <c:pt idx="32">
                  <c:v>Dec 2028</c:v>
                </c:pt>
              </c:strCache>
            </c:strRef>
          </c:cat>
          <c:val>
            <c:numRef>
              <c:f>Avalanche_Schedule!$AD$5:$AD$37</c:f>
              <c:numCache>
                <c:formatCode>General</c:formatCode>
                <c:ptCount val="33"/>
                <c:pt idx="0">
                  <c:v>31245.99</c:v>
                </c:pt>
                <c:pt idx="1">
                  <c:v>30480.2</c:v>
                </c:pt>
                <c:pt idx="2">
                  <c:v>29702.4</c:v>
                </c:pt>
                <c:pt idx="3">
                  <c:v>28912.33</c:v>
                </c:pt>
                <c:pt idx="4">
                  <c:v>28109.75</c:v>
                </c:pt>
                <c:pt idx="5">
                  <c:v>27294.39</c:v>
                </c:pt>
                <c:pt idx="6">
                  <c:v>26466.0</c:v>
                </c:pt>
                <c:pt idx="7">
                  <c:v>25624.31</c:v>
                </c:pt>
                <c:pt idx="8">
                  <c:v>24769.03</c:v>
                </c:pt>
                <c:pt idx="9">
                  <c:v>23899.89</c:v>
                </c:pt>
                <c:pt idx="10">
                  <c:v>23016.61</c:v>
                </c:pt>
                <c:pt idx="11">
                  <c:v>22118.88</c:v>
                </c:pt>
                <c:pt idx="12">
                  <c:v>21206.41</c:v>
                </c:pt>
                <c:pt idx="13">
                  <c:v>20278.89</c:v>
                </c:pt>
                <c:pt idx="14">
                  <c:v>19336.0</c:v>
                </c:pt>
                <c:pt idx="15">
                  <c:v>18377.42</c:v>
                </c:pt>
                <c:pt idx="16">
                  <c:v>17402.8</c:v>
                </c:pt>
                <c:pt idx="17">
                  <c:v>16411.82</c:v>
                </c:pt>
                <c:pt idx="18">
                  <c:v>15404.14</c:v>
                </c:pt>
                <c:pt idx="19">
                  <c:v>14379.78</c:v>
                </c:pt>
                <c:pt idx="20">
                  <c:v>13341.19</c:v>
                </c:pt>
                <c:pt idx="21">
                  <c:v>12288.15</c:v>
                </c:pt>
                <c:pt idx="22">
                  <c:v>11220.43</c:v>
                </c:pt>
                <c:pt idx="23">
                  <c:v>10137.78</c:v>
                </c:pt>
                <c:pt idx="24">
                  <c:v>9041.5</c:v>
                </c:pt>
                <c:pt idx="25">
                  <c:v>7944.36</c:v>
                </c:pt>
                <c:pt idx="26">
                  <c:v>6826.22</c:v>
                </c:pt>
                <c:pt idx="27">
                  <c:v>5696.58</c:v>
                </c:pt>
                <c:pt idx="28">
                  <c:v>4555.3</c:v>
                </c:pt>
                <c:pt idx="29">
                  <c:v>3405.94</c:v>
                </c:pt>
                <c:pt idx="30">
                  <c:v>2250.36</c:v>
                </c:pt>
                <c:pt idx="31">
                  <c:v>1088.53</c:v>
                </c:pt>
                <c:pt idx="32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low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Remaining Debt ($)</a:t>
                </a:r>
              </a:p>
            </c:rich>
          </c:tx>
          <c:layout/>
        </c:title>
        <c:numFmt formatCode="$#,##0.0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85725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debt-payoff-calculator-results-dashboard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Payoff Calculator Dashboard&amp;CDebtPayoffSpreadsheet.org&amp;Rv1.0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5.7109375" customWidth="1"/>
    <col min="3" max="3" width="12.7109375" customWidth="1"/>
    <col min="4" max="4" width="15.7109375" customWidth="1"/>
    <col min="5" max="6" width="16.7109375" customWidth="1"/>
  </cols>
  <sheetData>
    <row r="1" spans="1:7" ht="16" customHeight="1">
      <c r="A1" s="6" t="s">
        <v>22</v>
      </c>
      <c r="B1" s="6"/>
      <c r="C1" s="6"/>
      <c r="D1" s="6"/>
      <c r="E1" s="6"/>
      <c r="F1" s="6"/>
      <c r="G1" s="6"/>
    </row>
    <row r="2" spans="1:7">
      <c r="A2" s="1" t="s">
        <v>23</v>
      </c>
      <c r="B2" s="1"/>
      <c r="C2" s="1"/>
      <c r="D2" s="1"/>
      <c r="E2" s="1"/>
      <c r="F2" s="1"/>
    </row>
    <row r="4" spans="1:7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7">
      <c r="A5" s="8" t="s">
        <v>30</v>
      </c>
      <c r="B5" s="9">
        <v>900</v>
      </c>
      <c r="C5" s="10">
        <v>0</v>
      </c>
      <c r="D5" s="9">
        <v>35</v>
      </c>
      <c r="E5" s="3" t="s">
        <v>31</v>
      </c>
      <c r="F5" s="3" t="s">
        <v>32</v>
      </c>
    </row>
    <row r="6" spans="1:7">
      <c r="A6" s="8" t="s">
        <v>33</v>
      </c>
      <c r="B6" s="9">
        <v>8200</v>
      </c>
      <c r="C6" s="10">
        <v>0.2899</v>
      </c>
      <c r="D6" s="9">
        <v>246</v>
      </c>
      <c r="E6" s="3" t="s">
        <v>34</v>
      </c>
      <c r="F6" s="3" t="s">
        <v>32</v>
      </c>
    </row>
    <row r="7" spans="1:7">
      <c r="A7" s="8" t="s">
        <v>35</v>
      </c>
      <c r="B7" s="9">
        <v>4100</v>
      </c>
      <c r="C7" s="10">
        <v>0.2199</v>
      </c>
      <c r="D7" s="9">
        <v>123</v>
      </c>
      <c r="E7" s="3" t="s">
        <v>34</v>
      </c>
      <c r="F7" s="3" t="s">
        <v>32</v>
      </c>
    </row>
    <row r="8" spans="1:7">
      <c r="A8" s="8" t="s">
        <v>36</v>
      </c>
      <c r="B8" s="9">
        <v>7300</v>
      </c>
      <c r="C8" s="10">
        <v>0.139</v>
      </c>
      <c r="D8" s="9">
        <v>205</v>
      </c>
      <c r="E8" s="3" t="s">
        <v>37</v>
      </c>
      <c r="F8" s="3" t="s">
        <v>32</v>
      </c>
    </row>
    <row r="9" spans="1:7">
      <c r="A9" s="8" t="s">
        <v>38</v>
      </c>
      <c r="B9" s="9">
        <v>11500</v>
      </c>
      <c r="C9" s="10">
        <v>0.0649</v>
      </c>
      <c r="D9" s="9">
        <v>265</v>
      </c>
      <c r="E9" s="3" t="s">
        <v>37</v>
      </c>
      <c r="F9" s="3" t="s">
        <v>32</v>
      </c>
    </row>
    <row r="10" spans="1:7">
      <c r="A10" s="11" t="s">
        <v>39</v>
      </c>
      <c r="B10" s="12">
        <f>SUM(B5:B9)</f>
        <v>32000.0</v>
      </c>
      <c r="C10" s="11"/>
      <c r="D10" s="12">
        <f>SUM(D5:D9)</f>
        <v>874.0</v>
      </c>
      <c r="E10" s="11"/>
      <c r="F10" s="11"/>
    </row>
    <row r="11" spans="1:7">
      <c r="A11" s="13" t="s">
        <v>40</v>
      </c>
      <c r="B11" s="14">
        <v>46113</v>
      </c>
      <c r="D11" s="15" t="s">
        <v>42</v>
      </c>
      <c r="E11" s="15"/>
      <c r="F11" s="15"/>
    </row>
    <row r="12" spans="1:7">
      <c r="A12" s="13" t="s">
        <v>41</v>
      </c>
      <c r="B12" s="9">
        <v>300</v>
      </c>
      <c r="D12" s="15"/>
      <c r="E12" s="15"/>
      <c r="F12" s="15"/>
    </row>
    <row r="13" spans="1:7">
      <c r="A13" s="13" t="s">
        <v>43</v>
      </c>
      <c r="B13" s="12">
        <f>TotalMinimums+ExtraPayment</f>
        <v>1174.0</v>
      </c>
      <c r="D13" s="15" t="s">
        <v>44</v>
      </c>
      <c r="E13" s="15"/>
      <c r="F13" s="15"/>
    </row>
  </sheetData>
  <mergeCells count="4">
    <mergeCell ref="A1:G1"/>
    <mergeCell ref="A2:F2"/>
    <mergeCell ref="D11:F12"/>
    <mergeCell ref="D13:F13"/>
  </mergeCells>
  <pageMargins left="0.7" right="0.7" top="0.75" bottom="0.75" header="0.3" footer="0.3"/>
  <headerFooter>
    <oddFooter>&amp;LDebt Payoff Calculator Dashboard&amp;CDebtPayoffSpreadsheet.org&amp;Rv1.0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51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30</v>
      </c>
      <c r="X3" s="11"/>
      <c r="Y3" s="11"/>
      <c r="Z3" s="11"/>
      <c r="AA3" s="11"/>
    </row>
    <row r="4" spans="1:30">
      <c r="A4" s="7" t="s">
        <v>52</v>
      </c>
      <c r="B4" s="7" t="s">
        <v>53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45</v>
      </c>
      <c r="S4" s="7" t="s">
        <v>46</v>
      </c>
      <c r="T4" s="7" t="s">
        <v>47</v>
      </c>
      <c r="U4" s="7" t="s">
        <v>48</v>
      </c>
      <c r="V4" s="7" t="s">
        <v>49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54</v>
      </c>
      <c r="AC4" s="7" t="s">
        <v>55</v>
      </c>
      <c r="AD4" s="7" t="s">
        <v>56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MastercardBalance</f>
        <v>8200.0</v>
      </c>
      <c r="D5" s="12">
        <f>ROUND(IF($C$5&lt;=0,0,$C$5*MastercardAPR/12),2)</f>
        <v>198.1</v>
      </c>
      <c r="E5" s="12">
        <f>ROUND(IF($C$5&lt;=0,0,MIN(MastercardMinPayment,$C$5+$D$5)),2)</f>
        <v>246.0</v>
      </c>
      <c r="F5" s="12">
        <f>ROUND(IF($C$5&lt;=0,0,MIN(MAX(0,$C$5+$D$5-$E$5),$AB$5)),2)</f>
        <v>300.0</v>
      </c>
      <c r="G5" s="12">
        <f>ROUND(MAX(0,$C$5+$D$5-$E$5-$F$5),2)</f>
        <v>7852.1</v>
      </c>
      <c r="H5" s="12">
        <f>VisaCardBalance</f>
        <v>4100.0</v>
      </c>
      <c r="I5" s="12">
        <f>ROUND(IF($H$5&lt;=0,0,$H$5*VisaCardAPR/12),2)</f>
        <v>75.13</v>
      </c>
      <c r="J5" s="12">
        <f>ROUND(IF($H$5&lt;=0,0,MIN(VisaCardMinPayment,$H$5+$I$5)),2)</f>
        <v>123.0</v>
      </c>
      <c r="K5" s="12">
        <f>ROUND(IF($H$5&lt;=0,0,MIN(MAX(0,$H$5+$I$5-$J$5),MAX(0,$AB$5-$F$5))),2)</f>
        <v>0.0</v>
      </c>
      <c r="L5" s="12">
        <f>ROUND(MAX(0,$H$5+$I$5-$J$5-$K$5),2)</f>
        <v>4052.13</v>
      </c>
      <c r="M5" s="12">
        <f>PersonalLoanBalance</f>
        <v>7300.0</v>
      </c>
      <c r="N5" s="12">
        <f>ROUND(IF($M$5&lt;=0,0,$M$5*PersonalLoanAPR/12),2)</f>
        <v>84.56</v>
      </c>
      <c r="O5" s="12">
        <f>ROUND(IF($M$5&lt;=0,0,MIN(PersonalLoanMinPayment,$M$5+$N$5)),2)</f>
        <v>205.0</v>
      </c>
      <c r="P5" s="12">
        <f>ROUND(IF($M$5&lt;=0,0,MIN(MAX(0,$M$5+$N$5-$O$5),MAX(0,$AB$5-$F$5-$K$5))),2)</f>
        <v>0.0</v>
      </c>
      <c r="Q5" s="12">
        <f>ROUND(MAX(0,$M$5+$N$5-$O$5-$P$5),2)</f>
        <v>7179.56</v>
      </c>
      <c r="R5" s="12">
        <f>AutoLoanBalance</f>
        <v>11500.0</v>
      </c>
      <c r="S5" s="12">
        <f>ROUND(IF($R$5&lt;=0,0,$R$5*AutoLoanAPR/12),2)</f>
        <v>62.2</v>
      </c>
      <c r="T5" s="12">
        <f>ROUND(IF($R$5&lt;=0,0,MIN(AutoLoanMinPayment,$R$5+$S$5)),2)</f>
        <v>265.0</v>
      </c>
      <c r="U5" s="12">
        <f>ROUND(IF($R$5&lt;=0,0,MIN(MAX(0,$R$5+$S$5-$T$5),MAX(0,$AB$5-$F$5-$K$5-$P$5))),2)</f>
        <v>0.0</v>
      </c>
      <c r="V5" s="12">
        <f>ROUND(MAX(0,$R$5+$S$5-$T$5-$U$5),2)</f>
        <v>11297.2</v>
      </c>
      <c r="W5" s="12">
        <f>ClinicPaymentPlanBalance</f>
        <v>900.0</v>
      </c>
      <c r="X5" s="12">
        <f>ROUND(IF($W$5&lt;=0,0,$W$5*ClinicPaymentPlanAPR/12),2)</f>
        <v>0.0</v>
      </c>
      <c r="Y5" s="12">
        <f>ROUND(IF($W$5&lt;=0,0,MIN(ClinicPaymentPlanMinPayment,$W$5+$X$5)),2)</f>
        <v>35.0</v>
      </c>
      <c r="Z5" s="12">
        <f>ROUND(IF($W$5&lt;=0,0,MIN(MAX(0,$W$5+$X$5-$Y$5),MAX(0,$AB$5-$F$5-$K$5-$P$5-$U$5))),2)</f>
        <v>0.0</v>
      </c>
      <c r="AA5" s="12">
        <f>ROUND(MAX(0,$W$5+$X$5-$Y$5-$Z$5),2)</f>
        <v>865.0</v>
      </c>
      <c r="AB5" s="12">
        <f>ROUND(ExtraPayment,2)</f>
        <v>300.0</v>
      </c>
      <c r="AC5" s="12">
        <f>ROUND(SUM($D$5,$I$5,$N$5,$S$5,$X$5),2)</f>
        <v>419.99</v>
      </c>
      <c r="AD5" s="12">
        <f>ROUND(SUM($G$5,$L$5,$Q$5,$V$5,$AA$5),2)</f>
        <v>31245.99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7852.1</v>
      </c>
      <c r="D6" s="12">
        <f>ROUND(IF($C$6&lt;=0,0,$C$6*MastercardAPR/12),2)</f>
        <v>189.69</v>
      </c>
      <c r="E6" s="12">
        <f>ROUND(IF($C$6&lt;=0,0,MIN(MastercardMinPayment,$C$6+$D$6)),2)</f>
        <v>246.0</v>
      </c>
      <c r="F6" s="12">
        <f>ROUND(IF($C$6&lt;=0,0,MIN(MAX(0,$C$6+$D$6-$E$6),$AB$6)),2)</f>
        <v>300.0</v>
      </c>
      <c r="G6" s="12">
        <f>ROUND(MAX(0,$C$6+$D$6-$E$6-$F$6),2)</f>
        <v>7495.79</v>
      </c>
      <c r="H6" s="12">
        <f>$L$5</f>
        <v>4052.13</v>
      </c>
      <c r="I6" s="12">
        <f>ROUND(IF($H$6&lt;=0,0,$H$6*VisaCardAPR/12),2)</f>
        <v>74.26</v>
      </c>
      <c r="J6" s="12">
        <f>ROUND(IF($H$6&lt;=0,0,MIN(VisaCardMinPayment,$H$6+$I$6)),2)</f>
        <v>123.0</v>
      </c>
      <c r="K6" s="12">
        <f>ROUND(IF($H$6&lt;=0,0,MIN(MAX(0,$H$6+$I$6-$J$6),MAX(0,$AB$6-$F$6))),2)</f>
        <v>0.0</v>
      </c>
      <c r="L6" s="12">
        <f>ROUND(MAX(0,$H$6+$I$6-$J$6-$K$6),2)</f>
        <v>4003.39</v>
      </c>
      <c r="M6" s="12">
        <f>$Q$5</f>
        <v>7179.56</v>
      </c>
      <c r="N6" s="12">
        <f>ROUND(IF($M$6&lt;=0,0,$M$6*PersonalLoanAPR/12),2)</f>
        <v>83.16</v>
      </c>
      <c r="O6" s="12">
        <f>ROUND(IF($M$6&lt;=0,0,MIN(PersonalLoanMinPayment,$M$6+$N$6)),2)</f>
        <v>205.0</v>
      </c>
      <c r="P6" s="12">
        <f>ROUND(IF($M$6&lt;=0,0,MIN(MAX(0,$M$6+$N$6-$O$6),MAX(0,$AB$6-$F$6-$K$6))),2)</f>
        <v>0.0</v>
      </c>
      <c r="Q6" s="12">
        <f>ROUND(MAX(0,$M$6+$N$6-$O$6-$P$6),2)</f>
        <v>7057.72</v>
      </c>
      <c r="R6" s="12">
        <f>$V$5</f>
        <v>11297.2</v>
      </c>
      <c r="S6" s="12">
        <f>ROUND(IF($R$6&lt;=0,0,$R$6*AutoLoanAPR/12),2)</f>
        <v>61.1</v>
      </c>
      <c r="T6" s="12">
        <f>ROUND(IF($R$6&lt;=0,0,MIN(AutoLoanMinPayment,$R$6+$S$6)),2)</f>
        <v>265.0</v>
      </c>
      <c r="U6" s="12">
        <f>ROUND(IF($R$6&lt;=0,0,MIN(MAX(0,$R$6+$S$6-$T$6),MAX(0,$AB$6-$F$6-$K$6-$P$6))),2)</f>
        <v>0.0</v>
      </c>
      <c r="V6" s="12">
        <f>ROUND(MAX(0,$R$6+$S$6-$T$6-$U$6),2)</f>
        <v>11093.3</v>
      </c>
      <c r="W6" s="12">
        <f>$AA$5</f>
        <v>865.0</v>
      </c>
      <c r="X6" s="12">
        <f>ROUND(IF($W$6&lt;=0,0,$W$6*ClinicPaymentPlanAPR/12),2)</f>
        <v>0.0</v>
      </c>
      <c r="Y6" s="12">
        <f>ROUND(IF($W$6&lt;=0,0,MIN(ClinicPaymentPlanMinPayment,$W$6+$X$6)),2)</f>
        <v>35.0</v>
      </c>
      <c r="Z6" s="12">
        <f>ROUND(IF($W$6&lt;=0,0,MIN(MAX(0,$W$6+$X$6-$Y$6),MAX(0,$AB$6-$F$6-$K$6-$P$6-$U$6))),2)</f>
        <v>0.0</v>
      </c>
      <c r="AA6" s="12">
        <f>ROUND(MAX(0,$W$6+$X$6-$Y$6-$Z$6),2)</f>
        <v>830.0</v>
      </c>
      <c r="AB6" s="12">
        <f>ROUND(ExtraPayment+IF($G$5&lt;=0,MastercardMinPayment,0)+IF($L$5&lt;=0,VisaCardMinPayment,0)+IF($Q$5&lt;=0,PersonalLoanMinPayment,0)+IF($V$5&lt;=0,AutoLoanMinPayment,0)+IF($AA$5&lt;=0,ClinicPaymentPlanMinPayment,0),2)</f>
        <v>300.0</v>
      </c>
      <c r="AC6" s="12">
        <f>ROUND(SUM($D$6,$I$6,$N$6,$S$6,$X$6),2)</f>
        <v>408.21</v>
      </c>
      <c r="AD6" s="12">
        <f>ROUND(SUM($G$6,$L$6,$Q$6,$V$6,$AA$6),2)</f>
        <v>30480.2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7495.79</v>
      </c>
      <c r="D7" s="12">
        <f>ROUND(IF($C$7&lt;=0,0,$C$7*MastercardAPR/12),2)</f>
        <v>181.09</v>
      </c>
      <c r="E7" s="12">
        <f>ROUND(IF($C$7&lt;=0,0,MIN(MastercardMinPayment,$C$7+$D$7)),2)</f>
        <v>246.0</v>
      </c>
      <c r="F7" s="12">
        <f>ROUND(IF($C$7&lt;=0,0,MIN(MAX(0,$C$7+$D$7-$E$7),$AB$7)),2)</f>
        <v>300.0</v>
      </c>
      <c r="G7" s="12">
        <f>ROUND(MAX(0,$C$7+$D$7-$E$7-$F$7),2)</f>
        <v>7130.88</v>
      </c>
      <c r="H7" s="12">
        <f>$L$6</f>
        <v>4003.39</v>
      </c>
      <c r="I7" s="12">
        <f>ROUND(IF($H$7&lt;=0,0,$H$7*VisaCardAPR/12),2)</f>
        <v>73.36</v>
      </c>
      <c r="J7" s="12">
        <f>ROUND(IF($H$7&lt;=0,0,MIN(VisaCardMinPayment,$H$7+$I$7)),2)</f>
        <v>123.0</v>
      </c>
      <c r="K7" s="12">
        <f>ROUND(IF($H$7&lt;=0,0,MIN(MAX(0,$H$7+$I$7-$J$7),MAX(0,$AB$7-$F$7))),2)</f>
        <v>0.0</v>
      </c>
      <c r="L7" s="12">
        <f>ROUND(MAX(0,$H$7+$I$7-$J$7-$K$7),2)</f>
        <v>3953.75</v>
      </c>
      <c r="M7" s="12">
        <f>$Q$6</f>
        <v>7057.72</v>
      </c>
      <c r="N7" s="12">
        <f>ROUND(IF($M$7&lt;=0,0,$M$7*PersonalLoanAPR/12),2)</f>
        <v>81.75</v>
      </c>
      <c r="O7" s="12">
        <f>ROUND(IF($M$7&lt;=0,0,MIN(PersonalLoanMinPayment,$M$7+$N$7)),2)</f>
        <v>205.0</v>
      </c>
      <c r="P7" s="12">
        <f>ROUND(IF($M$7&lt;=0,0,MIN(MAX(0,$M$7+$N$7-$O$7),MAX(0,$AB$7-$F$7-$K$7))),2)</f>
        <v>0.0</v>
      </c>
      <c r="Q7" s="12">
        <f>ROUND(MAX(0,$M$7+$N$7-$O$7-$P$7),2)</f>
        <v>6934.47</v>
      </c>
      <c r="R7" s="12">
        <f>$V$6</f>
        <v>11093.3</v>
      </c>
      <c r="S7" s="12">
        <f>ROUND(IF($R$7&lt;=0,0,$R$7*AutoLoanAPR/12),2)</f>
        <v>60.0</v>
      </c>
      <c r="T7" s="12">
        <f>ROUND(IF($R$7&lt;=0,0,MIN(AutoLoanMinPayment,$R$7+$S$7)),2)</f>
        <v>265.0</v>
      </c>
      <c r="U7" s="12">
        <f>ROUND(IF($R$7&lt;=0,0,MIN(MAX(0,$R$7+$S$7-$T$7),MAX(0,$AB$7-$F$7-$K$7-$P$7))),2)</f>
        <v>0.0</v>
      </c>
      <c r="V7" s="12">
        <f>ROUND(MAX(0,$R$7+$S$7-$T$7-$U$7),2)</f>
        <v>10888.3</v>
      </c>
      <c r="W7" s="12">
        <f>$AA$6</f>
        <v>830.0</v>
      </c>
      <c r="X7" s="12">
        <f>ROUND(IF($W$7&lt;=0,0,$W$7*ClinicPaymentPlanAPR/12),2)</f>
        <v>0.0</v>
      </c>
      <c r="Y7" s="12">
        <f>ROUND(IF($W$7&lt;=0,0,MIN(ClinicPaymentPlanMinPayment,$W$7+$X$7)),2)</f>
        <v>35.0</v>
      </c>
      <c r="Z7" s="12">
        <f>ROUND(IF($W$7&lt;=0,0,MIN(MAX(0,$W$7+$X$7-$Y$7),MAX(0,$AB$7-$F$7-$K$7-$P$7-$U$7))),2)</f>
        <v>0.0</v>
      </c>
      <c r="AA7" s="12">
        <f>ROUND(MAX(0,$W$7+$X$7-$Y$7-$Z$7),2)</f>
        <v>795.0</v>
      </c>
      <c r="AB7" s="12">
        <f>ROUND(ExtraPayment+IF($G$6&lt;=0,MastercardMinPayment,0)+IF($L$6&lt;=0,VisaCardMinPayment,0)+IF($Q$6&lt;=0,PersonalLoanMinPayment,0)+IF($V$6&lt;=0,AutoLoanMinPayment,0)+IF($AA$6&lt;=0,ClinicPaymentPlanMinPayment,0),2)</f>
        <v>300.0</v>
      </c>
      <c r="AC7" s="12">
        <f>ROUND(SUM($D$7,$I$7,$N$7,$S$7,$X$7),2)</f>
        <v>396.2</v>
      </c>
      <c r="AD7" s="12">
        <f>ROUND(SUM($G$7,$L$7,$Q$7,$V$7,$AA$7),2)</f>
        <v>29702.4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7130.88</v>
      </c>
      <c r="D8" s="12">
        <f>ROUND(IF($C$8&lt;=0,0,$C$8*MastercardAPR/12),2)</f>
        <v>172.27</v>
      </c>
      <c r="E8" s="12">
        <f>ROUND(IF($C$8&lt;=0,0,MIN(MastercardMinPayment,$C$8+$D$8)),2)</f>
        <v>246.0</v>
      </c>
      <c r="F8" s="12">
        <f>ROUND(IF($C$8&lt;=0,0,MIN(MAX(0,$C$8+$D$8-$E$8),$AB$8)),2)</f>
        <v>300.0</v>
      </c>
      <c r="G8" s="12">
        <f>ROUND(MAX(0,$C$8+$D$8-$E$8-$F$8),2)</f>
        <v>6757.15</v>
      </c>
      <c r="H8" s="12">
        <f>$L$7</f>
        <v>3953.75</v>
      </c>
      <c r="I8" s="12">
        <f>ROUND(IF($H$8&lt;=0,0,$H$8*VisaCardAPR/12),2)</f>
        <v>72.45</v>
      </c>
      <c r="J8" s="12">
        <f>ROUND(IF($H$8&lt;=0,0,MIN(VisaCardMinPayment,$H$8+$I$8)),2)</f>
        <v>123.0</v>
      </c>
      <c r="K8" s="12">
        <f>ROUND(IF($H$8&lt;=0,0,MIN(MAX(0,$H$8+$I$8-$J$8),MAX(0,$AB$8-$F$8))),2)</f>
        <v>0.0</v>
      </c>
      <c r="L8" s="12">
        <f>ROUND(MAX(0,$H$8+$I$8-$J$8-$K$8),2)</f>
        <v>3903.2</v>
      </c>
      <c r="M8" s="12">
        <f>$Q$7</f>
        <v>6934.47</v>
      </c>
      <c r="N8" s="12">
        <f>ROUND(IF($M$8&lt;=0,0,$M$8*PersonalLoanAPR/12),2)</f>
        <v>80.32</v>
      </c>
      <c r="O8" s="12">
        <f>ROUND(IF($M$8&lt;=0,0,MIN(PersonalLoanMinPayment,$M$8+$N$8)),2)</f>
        <v>205.0</v>
      </c>
      <c r="P8" s="12">
        <f>ROUND(IF($M$8&lt;=0,0,MIN(MAX(0,$M$8+$N$8-$O$8),MAX(0,$AB$8-$F$8-$K$8))),2)</f>
        <v>0.0</v>
      </c>
      <c r="Q8" s="12">
        <f>ROUND(MAX(0,$M$8+$N$8-$O$8-$P$8),2)</f>
        <v>6809.79</v>
      </c>
      <c r="R8" s="12">
        <f>$V$7</f>
        <v>10888.3</v>
      </c>
      <c r="S8" s="12">
        <f>ROUND(IF($R$8&lt;=0,0,$R$8*AutoLoanAPR/12),2)</f>
        <v>58.89</v>
      </c>
      <c r="T8" s="12">
        <f>ROUND(IF($R$8&lt;=0,0,MIN(AutoLoanMinPayment,$R$8+$S$8)),2)</f>
        <v>265.0</v>
      </c>
      <c r="U8" s="12">
        <f>ROUND(IF($R$8&lt;=0,0,MIN(MAX(0,$R$8+$S$8-$T$8),MAX(0,$AB$8-$F$8-$K$8-$P$8))),2)</f>
        <v>0.0</v>
      </c>
      <c r="V8" s="12">
        <f>ROUND(MAX(0,$R$8+$S$8-$T$8-$U$8),2)</f>
        <v>10682.19</v>
      </c>
      <c r="W8" s="12">
        <f>$AA$7</f>
        <v>795.0</v>
      </c>
      <c r="X8" s="12">
        <f>ROUND(IF($W$8&lt;=0,0,$W$8*ClinicPaymentPlanAPR/12),2)</f>
        <v>0.0</v>
      </c>
      <c r="Y8" s="12">
        <f>ROUND(IF($W$8&lt;=0,0,MIN(ClinicPaymentPlanMinPayment,$W$8+$X$8)),2)</f>
        <v>35.0</v>
      </c>
      <c r="Z8" s="12">
        <f>ROUND(IF($W$8&lt;=0,0,MIN(MAX(0,$W$8+$X$8-$Y$8),MAX(0,$AB$8-$F$8-$K$8-$P$8-$U$8))),2)</f>
        <v>0.0</v>
      </c>
      <c r="AA8" s="12">
        <f>ROUND(MAX(0,$W$8+$X$8-$Y$8-$Z$8),2)</f>
        <v>760.0</v>
      </c>
      <c r="AB8" s="12">
        <f>ROUND(ExtraPayment+IF($G$7&lt;=0,MastercardMinPayment,0)+IF($L$7&lt;=0,VisaCardMinPayment,0)+IF($Q$7&lt;=0,PersonalLoanMinPayment,0)+IF($V$7&lt;=0,AutoLoanMinPayment,0)+IF($AA$7&lt;=0,ClinicPaymentPlanMinPayment,0),2)</f>
        <v>300.0</v>
      </c>
      <c r="AC8" s="12">
        <f>ROUND(SUM($D$8,$I$8,$N$8,$S$8,$X$8),2)</f>
        <v>383.93</v>
      </c>
      <c r="AD8" s="12">
        <f>ROUND(SUM($G$8,$L$8,$Q$8,$V$8,$AA$8),2)</f>
        <v>28912.33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6757.15</v>
      </c>
      <c r="D9" s="12">
        <f>ROUND(IF($C$9&lt;=0,0,$C$9*MastercardAPR/12),2)</f>
        <v>163.24</v>
      </c>
      <c r="E9" s="12">
        <f>ROUND(IF($C$9&lt;=0,0,MIN(MastercardMinPayment,$C$9+$D$9)),2)</f>
        <v>246.0</v>
      </c>
      <c r="F9" s="12">
        <f>ROUND(IF($C$9&lt;=0,0,MIN(MAX(0,$C$9+$D$9-$E$9),$AB$9)),2)</f>
        <v>300.0</v>
      </c>
      <c r="G9" s="12">
        <f>ROUND(MAX(0,$C$9+$D$9-$E$9-$F$9),2)</f>
        <v>6374.39</v>
      </c>
      <c r="H9" s="12">
        <f>$L$8</f>
        <v>3903.2</v>
      </c>
      <c r="I9" s="12">
        <f>ROUND(IF($H$9&lt;=0,0,$H$9*VisaCardAPR/12),2)</f>
        <v>71.53</v>
      </c>
      <c r="J9" s="12">
        <f>ROUND(IF($H$9&lt;=0,0,MIN(VisaCardMinPayment,$H$9+$I$9)),2)</f>
        <v>123.0</v>
      </c>
      <c r="K9" s="12">
        <f>ROUND(IF($H$9&lt;=0,0,MIN(MAX(0,$H$9+$I$9-$J$9),MAX(0,$AB$9-$F$9))),2)</f>
        <v>0.0</v>
      </c>
      <c r="L9" s="12">
        <f>ROUND(MAX(0,$H$9+$I$9-$J$9-$K$9),2)</f>
        <v>3851.73</v>
      </c>
      <c r="M9" s="12">
        <f>$Q$8</f>
        <v>6809.79</v>
      </c>
      <c r="N9" s="12">
        <f>ROUND(IF($M$9&lt;=0,0,$M$9*PersonalLoanAPR/12),2)</f>
        <v>78.88</v>
      </c>
      <c r="O9" s="12">
        <f>ROUND(IF($M$9&lt;=0,0,MIN(PersonalLoanMinPayment,$M$9+$N$9)),2)</f>
        <v>205.0</v>
      </c>
      <c r="P9" s="12">
        <f>ROUND(IF($M$9&lt;=0,0,MIN(MAX(0,$M$9+$N$9-$O$9),MAX(0,$AB$9-$F$9-$K$9))),2)</f>
        <v>0.0</v>
      </c>
      <c r="Q9" s="12">
        <f>ROUND(MAX(0,$M$9+$N$9-$O$9-$P$9),2)</f>
        <v>6683.67</v>
      </c>
      <c r="R9" s="12">
        <f>$V$8</f>
        <v>10682.19</v>
      </c>
      <c r="S9" s="12">
        <f>ROUND(IF($R$9&lt;=0,0,$R$9*AutoLoanAPR/12),2)</f>
        <v>57.77</v>
      </c>
      <c r="T9" s="12">
        <f>ROUND(IF($R$9&lt;=0,0,MIN(AutoLoanMinPayment,$R$9+$S$9)),2)</f>
        <v>265.0</v>
      </c>
      <c r="U9" s="12">
        <f>ROUND(IF($R$9&lt;=0,0,MIN(MAX(0,$R$9+$S$9-$T$9),MAX(0,$AB$9-$F$9-$K$9-$P$9))),2)</f>
        <v>0.0</v>
      </c>
      <c r="V9" s="12">
        <f>ROUND(MAX(0,$R$9+$S$9-$T$9-$U$9),2)</f>
        <v>10474.96</v>
      </c>
      <c r="W9" s="12">
        <f>$AA$8</f>
        <v>760.0</v>
      </c>
      <c r="X9" s="12">
        <f>ROUND(IF($W$9&lt;=0,0,$W$9*ClinicPaymentPlanAPR/12),2)</f>
        <v>0.0</v>
      </c>
      <c r="Y9" s="12">
        <f>ROUND(IF($W$9&lt;=0,0,MIN(ClinicPaymentPlanMinPayment,$W$9+$X$9)),2)</f>
        <v>35.0</v>
      </c>
      <c r="Z9" s="12">
        <f>ROUND(IF($W$9&lt;=0,0,MIN(MAX(0,$W$9+$X$9-$Y$9),MAX(0,$AB$9-$F$9-$K$9-$P$9-$U$9))),2)</f>
        <v>0.0</v>
      </c>
      <c r="AA9" s="12">
        <f>ROUND(MAX(0,$W$9+$X$9-$Y$9-$Z$9),2)</f>
        <v>725.0</v>
      </c>
      <c r="AB9" s="12">
        <f>ROUND(ExtraPayment+IF($G$8&lt;=0,MastercardMinPayment,0)+IF($L$8&lt;=0,VisaCardMinPayment,0)+IF($Q$8&lt;=0,PersonalLoanMinPayment,0)+IF($V$8&lt;=0,AutoLoanMinPayment,0)+IF($AA$8&lt;=0,ClinicPaymentPlanMinPayment,0),2)</f>
        <v>300.0</v>
      </c>
      <c r="AC9" s="12">
        <f>ROUND(SUM($D$9,$I$9,$N$9,$S$9,$X$9),2)</f>
        <v>371.42</v>
      </c>
      <c r="AD9" s="12">
        <f>ROUND(SUM($G$9,$L$9,$Q$9,$V$9,$AA$9),2)</f>
        <v>28109.75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6374.39</v>
      </c>
      <c r="D10" s="12">
        <f>ROUND(IF($C$10&lt;=0,0,$C$10*MastercardAPR/12),2)</f>
        <v>153.99</v>
      </c>
      <c r="E10" s="12">
        <f>ROUND(IF($C$10&lt;=0,0,MIN(MastercardMinPayment,$C$10+$D$10)),2)</f>
        <v>246.0</v>
      </c>
      <c r="F10" s="12">
        <f>ROUND(IF($C$10&lt;=0,0,MIN(MAX(0,$C$10+$D$10-$E$10),$AB$10)),2)</f>
        <v>300.0</v>
      </c>
      <c r="G10" s="12">
        <f>ROUND(MAX(0,$C$10+$D$10-$E$10-$F$10),2)</f>
        <v>5982.38</v>
      </c>
      <c r="H10" s="12">
        <f>$L$9</f>
        <v>3851.73</v>
      </c>
      <c r="I10" s="12">
        <f>ROUND(IF($H$10&lt;=0,0,$H$10*VisaCardAPR/12),2)</f>
        <v>70.58</v>
      </c>
      <c r="J10" s="12">
        <f>ROUND(IF($H$10&lt;=0,0,MIN(VisaCardMinPayment,$H$10+$I$10)),2)</f>
        <v>123.0</v>
      </c>
      <c r="K10" s="12">
        <f>ROUND(IF($H$10&lt;=0,0,MIN(MAX(0,$H$10+$I$10-$J$10),MAX(0,$AB$10-$F$10))),2)</f>
        <v>0.0</v>
      </c>
      <c r="L10" s="12">
        <f>ROUND(MAX(0,$H$10+$I$10-$J$10-$K$10),2)</f>
        <v>3799.31</v>
      </c>
      <c r="M10" s="12">
        <f>$Q$9</f>
        <v>6683.67</v>
      </c>
      <c r="N10" s="12">
        <f>ROUND(IF($M$10&lt;=0,0,$M$10*PersonalLoanAPR/12),2)</f>
        <v>77.42</v>
      </c>
      <c r="O10" s="12">
        <f>ROUND(IF($M$10&lt;=0,0,MIN(PersonalLoanMinPayment,$M$10+$N$10)),2)</f>
        <v>205.0</v>
      </c>
      <c r="P10" s="12">
        <f>ROUND(IF($M$10&lt;=0,0,MIN(MAX(0,$M$10+$N$10-$O$10),MAX(0,$AB$10-$F$10-$K$10))),2)</f>
        <v>0.0</v>
      </c>
      <c r="Q10" s="12">
        <f>ROUND(MAX(0,$M$10+$N$10-$O$10-$P$10),2)</f>
        <v>6556.09</v>
      </c>
      <c r="R10" s="12">
        <f>$V$9</f>
        <v>10474.96</v>
      </c>
      <c r="S10" s="12">
        <f>ROUND(IF($R$10&lt;=0,0,$R$10*AutoLoanAPR/12),2)</f>
        <v>56.65</v>
      </c>
      <c r="T10" s="12">
        <f>ROUND(IF($R$10&lt;=0,0,MIN(AutoLoanMinPayment,$R$10+$S$10)),2)</f>
        <v>265.0</v>
      </c>
      <c r="U10" s="12">
        <f>ROUND(IF($R$10&lt;=0,0,MIN(MAX(0,$R$10+$S$10-$T$10),MAX(0,$AB$10-$F$10-$K$10-$P$10))),2)</f>
        <v>0.0</v>
      </c>
      <c r="V10" s="12">
        <f>ROUND(MAX(0,$R$10+$S$10-$T$10-$U$10),2)</f>
        <v>10266.61</v>
      </c>
      <c r="W10" s="12">
        <f>$AA$9</f>
        <v>725.0</v>
      </c>
      <c r="X10" s="12">
        <f>ROUND(IF($W$10&lt;=0,0,$W$10*ClinicPaymentPlanAPR/12),2)</f>
        <v>0.0</v>
      </c>
      <c r="Y10" s="12">
        <f>ROUND(IF($W$10&lt;=0,0,MIN(ClinicPaymentPlanMinPayment,$W$10+$X$10)),2)</f>
        <v>35.0</v>
      </c>
      <c r="Z10" s="12">
        <f>ROUND(IF($W$10&lt;=0,0,MIN(MAX(0,$W$10+$X$10-$Y$10),MAX(0,$AB$10-$F$10-$K$10-$P$10-$U$10))),2)</f>
        <v>0.0</v>
      </c>
      <c r="AA10" s="12">
        <f>ROUND(MAX(0,$W$10+$X$10-$Y$10-$Z$10),2)</f>
        <v>690.0</v>
      </c>
      <c r="AB10" s="12">
        <f>ROUND(ExtraPayment+IF($G$9&lt;=0,MastercardMinPayment,0)+IF($L$9&lt;=0,VisaCardMinPayment,0)+IF($Q$9&lt;=0,PersonalLoanMinPayment,0)+IF($V$9&lt;=0,AutoLoanMinPayment,0)+IF($AA$9&lt;=0,ClinicPaymentPlanMinPayment,0),2)</f>
        <v>300.0</v>
      </c>
      <c r="AC10" s="12">
        <f>ROUND(SUM($D$10,$I$10,$N$10,$S$10,$X$10),2)</f>
        <v>358.64</v>
      </c>
      <c r="AD10" s="12">
        <f>ROUND(SUM($G$10,$L$10,$Q$10,$V$10,$AA$10),2)</f>
        <v>27294.39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5982.38</v>
      </c>
      <c r="D11" s="12">
        <f>ROUND(IF($C$11&lt;=0,0,$C$11*MastercardAPR/12),2)</f>
        <v>144.52</v>
      </c>
      <c r="E11" s="12">
        <f>ROUND(IF($C$11&lt;=0,0,MIN(MastercardMinPayment,$C$11+$D$11)),2)</f>
        <v>246.0</v>
      </c>
      <c r="F11" s="12">
        <f>ROUND(IF($C$11&lt;=0,0,MIN(MAX(0,$C$11+$D$11-$E$11),$AB$11)),2)</f>
        <v>300.0</v>
      </c>
      <c r="G11" s="12">
        <f>ROUND(MAX(0,$C$11+$D$11-$E$11-$F$11),2)</f>
        <v>5580.9</v>
      </c>
      <c r="H11" s="12">
        <f>$L$10</f>
        <v>3799.31</v>
      </c>
      <c r="I11" s="12">
        <f>ROUND(IF($H$11&lt;=0,0,$H$11*VisaCardAPR/12),2)</f>
        <v>69.62</v>
      </c>
      <c r="J11" s="12">
        <f>ROUND(IF($H$11&lt;=0,0,MIN(VisaCardMinPayment,$H$11+$I$11)),2)</f>
        <v>123.0</v>
      </c>
      <c r="K11" s="12">
        <f>ROUND(IF($H$11&lt;=0,0,MIN(MAX(0,$H$11+$I$11-$J$11),MAX(0,$AB$11-$F$11))),2)</f>
        <v>0.0</v>
      </c>
      <c r="L11" s="12">
        <f>ROUND(MAX(0,$H$11+$I$11-$J$11-$K$11),2)</f>
        <v>3745.93</v>
      </c>
      <c r="M11" s="12">
        <f>$Q$10</f>
        <v>6556.09</v>
      </c>
      <c r="N11" s="12">
        <f>ROUND(IF($M$11&lt;=0,0,$M$11*PersonalLoanAPR/12),2)</f>
        <v>75.94</v>
      </c>
      <c r="O11" s="12">
        <f>ROUND(IF($M$11&lt;=0,0,MIN(PersonalLoanMinPayment,$M$11+$N$11)),2)</f>
        <v>205.0</v>
      </c>
      <c r="P11" s="12">
        <f>ROUND(IF($M$11&lt;=0,0,MIN(MAX(0,$M$11+$N$11-$O$11),MAX(0,$AB$11-$F$11-$K$11))),2)</f>
        <v>0.0</v>
      </c>
      <c r="Q11" s="12">
        <f>ROUND(MAX(0,$M$11+$N$11-$O$11-$P$11),2)</f>
        <v>6427.03</v>
      </c>
      <c r="R11" s="12">
        <f>$V$10</f>
        <v>10266.61</v>
      </c>
      <c r="S11" s="12">
        <f>ROUND(IF($R$11&lt;=0,0,$R$11*AutoLoanAPR/12),2)</f>
        <v>55.53</v>
      </c>
      <c r="T11" s="12">
        <f>ROUND(IF($R$11&lt;=0,0,MIN(AutoLoanMinPayment,$R$11+$S$11)),2)</f>
        <v>265.0</v>
      </c>
      <c r="U11" s="12">
        <f>ROUND(IF($R$11&lt;=0,0,MIN(MAX(0,$R$11+$S$11-$T$11),MAX(0,$AB$11-$F$11-$K$11-$P$11))),2)</f>
        <v>0.0</v>
      </c>
      <c r="V11" s="12">
        <f>ROUND(MAX(0,$R$11+$S$11-$T$11-$U$11),2)</f>
        <v>10057.14</v>
      </c>
      <c r="W11" s="12">
        <f>$AA$10</f>
        <v>690.0</v>
      </c>
      <c r="X11" s="12">
        <f>ROUND(IF($W$11&lt;=0,0,$W$11*ClinicPaymentPlanAPR/12),2)</f>
        <v>0.0</v>
      </c>
      <c r="Y11" s="12">
        <f>ROUND(IF($W$11&lt;=0,0,MIN(ClinicPaymentPlanMinPayment,$W$11+$X$11)),2)</f>
        <v>35.0</v>
      </c>
      <c r="Z11" s="12">
        <f>ROUND(IF($W$11&lt;=0,0,MIN(MAX(0,$W$11+$X$11-$Y$11),MAX(0,$AB$11-$F$11-$K$11-$P$11-$U$11))),2)</f>
        <v>0.0</v>
      </c>
      <c r="AA11" s="12">
        <f>ROUND(MAX(0,$W$11+$X$11-$Y$11-$Z$11),2)</f>
        <v>655.0</v>
      </c>
      <c r="AB11" s="12">
        <f>ROUND(ExtraPayment+IF($G$10&lt;=0,MastercardMinPayment,0)+IF($L$10&lt;=0,VisaCardMinPayment,0)+IF($Q$10&lt;=0,PersonalLoanMinPayment,0)+IF($V$10&lt;=0,AutoLoanMinPayment,0)+IF($AA$10&lt;=0,ClinicPaymentPlanMinPayment,0),2)</f>
        <v>300.0</v>
      </c>
      <c r="AC11" s="12">
        <f>ROUND(SUM($D$11,$I$11,$N$11,$S$11,$X$11),2)</f>
        <v>345.61</v>
      </c>
      <c r="AD11" s="12">
        <f>ROUND(SUM($G$11,$L$11,$Q$11,$V$11,$AA$11),2)</f>
        <v>26466.0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5580.9</v>
      </c>
      <c r="D12" s="12">
        <f>ROUND(IF($C$12&lt;=0,0,$C$12*MastercardAPR/12),2)</f>
        <v>134.83</v>
      </c>
      <c r="E12" s="12">
        <f>ROUND(IF($C$12&lt;=0,0,MIN(MastercardMinPayment,$C$12+$D$12)),2)</f>
        <v>246.0</v>
      </c>
      <c r="F12" s="12">
        <f>ROUND(IF($C$12&lt;=0,0,MIN(MAX(0,$C$12+$D$12-$E$12),$AB$12)),2)</f>
        <v>300.0</v>
      </c>
      <c r="G12" s="12">
        <f>ROUND(MAX(0,$C$12+$D$12-$E$12-$F$12),2)</f>
        <v>5169.73</v>
      </c>
      <c r="H12" s="12">
        <f>$L$11</f>
        <v>3745.93</v>
      </c>
      <c r="I12" s="12">
        <f>ROUND(IF($H$12&lt;=0,0,$H$12*VisaCardAPR/12),2)</f>
        <v>68.64</v>
      </c>
      <c r="J12" s="12">
        <f>ROUND(IF($H$12&lt;=0,0,MIN(VisaCardMinPayment,$H$12+$I$12)),2)</f>
        <v>123.0</v>
      </c>
      <c r="K12" s="12">
        <f>ROUND(IF($H$12&lt;=0,0,MIN(MAX(0,$H$12+$I$12-$J$12),MAX(0,$AB$12-$F$12))),2)</f>
        <v>0.0</v>
      </c>
      <c r="L12" s="12">
        <f>ROUND(MAX(0,$H$12+$I$12-$J$12-$K$12),2)</f>
        <v>3691.57</v>
      </c>
      <c r="M12" s="12">
        <f>$Q$11</f>
        <v>6427.03</v>
      </c>
      <c r="N12" s="12">
        <f>ROUND(IF($M$12&lt;=0,0,$M$12*PersonalLoanAPR/12),2)</f>
        <v>74.45</v>
      </c>
      <c r="O12" s="12">
        <f>ROUND(IF($M$12&lt;=0,0,MIN(PersonalLoanMinPayment,$M$12+$N$12)),2)</f>
        <v>205.0</v>
      </c>
      <c r="P12" s="12">
        <f>ROUND(IF($M$12&lt;=0,0,MIN(MAX(0,$M$12+$N$12-$O$12),MAX(0,$AB$12-$F$12-$K$12))),2)</f>
        <v>0.0</v>
      </c>
      <c r="Q12" s="12">
        <f>ROUND(MAX(0,$M$12+$N$12-$O$12-$P$12),2)</f>
        <v>6296.48</v>
      </c>
      <c r="R12" s="12">
        <f>$V$11</f>
        <v>10057.14</v>
      </c>
      <c r="S12" s="12">
        <f>ROUND(IF($R$12&lt;=0,0,$R$12*AutoLoanAPR/12),2)</f>
        <v>54.39</v>
      </c>
      <c r="T12" s="12">
        <f>ROUND(IF($R$12&lt;=0,0,MIN(AutoLoanMinPayment,$R$12+$S$12)),2)</f>
        <v>265.0</v>
      </c>
      <c r="U12" s="12">
        <f>ROUND(IF($R$12&lt;=0,0,MIN(MAX(0,$R$12+$S$12-$T$12),MAX(0,$AB$12-$F$12-$K$12-$P$12))),2)</f>
        <v>0.0</v>
      </c>
      <c r="V12" s="12">
        <f>ROUND(MAX(0,$R$12+$S$12-$T$12-$U$12),2)</f>
        <v>9846.53</v>
      </c>
      <c r="W12" s="12">
        <f>$AA$11</f>
        <v>655.0</v>
      </c>
      <c r="X12" s="12">
        <f>ROUND(IF($W$12&lt;=0,0,$W$12*ClinicPaymentPlanAPR/12),2)</f>
        <v>0.0</v>
      </c>
      <c r="Y12" s="12">
        <f>ROUND(IF($W$12&lt;=0,0,MIN(ClinicPaymentPlanMinPayment,$W$12+$X$12)),2)</f>
        <v>35.0</v>
      </c>
      <c r="Z12" s="12">
        <f>ROUND(IF($W$12&lt;=0,0,MIN(MAX(0,$W$12+$X$12-$Y$12),MAX(0,$AB$12-$F$12-$K$12-$P$12-$U$12))),2)</f>
        <v>0.0</v>
      </c>
      <c r="AA12" s="12">
        <f>ROUND(MAX(0,$W$12+$X$12-$Y$12-$Z$12),2)</f>
        <v>620.0</v>
      </c>
      <c r="AB12" s="12">
        <f>ROUND(ExtraPayment+IF($G$11&lt;=0,MastercardMinPayment,0)+IF($L$11&lt;=0,VisaCardMinPayment,0)+IF($Q$11&lt;=0,PersonalLoanMinPayment,0)+IF($V$11&lt;=0,AutoLoanMinPayment,0)+IF($AA$11&lt;=0,ClinicPaymentPlanMinPayment,0),2)</f>
        <v>300.0</v>
      </c>
      <c r="AC12" s="12">
        <f>ROUND(SUM($D$12,$I$12,$N$12,$S$12,$X$12),2)</f>
        <v>332.31</v>
      </c>
      <c r="AD12" s="12">
        <f>ROUND(SUM($G$12,$L$12,$Q$12,$V$12,$AA$12),2)</f>
        <v>25624.31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5169.73</v>
      </c>
      <c r="D13" s="12">
        <f>ROUND(IF($C$13&lt;=0,0,$C$13*MastercardAPR/12),2)</f>
        <v>124.89</v>
      </c>
      <c r="E13" s="12">
        <f>ROUND(IF($C$13&lt;=0,0,MIN(MastercardMinPayment,$C$13+$D$13)),2)</f>
        <v>246.0</v>
      </c>
      <c r="F13" s="12">
        <f>ROUND(IF($C$13&lt;=0,0,MIN(MAX(0,$C$13+$D$13-$E$13),$AB$13)),2)</f>
        <v>300.0</v>
      </c>
      <c r="G13" s="12">
        <f>ROUND(MAX(0,$C$13+$D$13-$E$13-$F$13),2)</f>
        <v>4748.62</v>
      </c>
      <c r="H13" s="12">
        <f>$L$12</f>
        <v>3691.57</v>
      </c>
      <c r="I13" s="12">
        <f>ROUND(IF($H$13&lt;=0,0,$H$13*VisaCardAPR/12),2)</f>
        <v>67.65</v>
      </c>
      <c r="J13" s="12">
        <f>ROUND(IF($H$13&lt;=0,0,MIN(VisaCardMinPayment,$H$13+$I$13)),2)</f>
        <v>123.0</v>
      </c>
      <c r="K13" s="12">
        <f>ROUND(IF($H$13&lt;=0,0,MIN(MAX(0,$H$13+$I$13-$J$13),MAX(0,$AB$13-$F$13))),2)</f>
        <v>0.0</v>
      </c>
      <c r="L13" s="12">
        <f>ROUND(MAX(0,$H$13+$I$13-$J$13-$K$13),2)</f>
        <v>3636.22</v>
      </c>
      <c r="M13" s="12">
        <f>$Q$12</f>
        <v>6296.48</v>
      </c>
      <c r="N13" s="12">
        <f>ROUND(IF($M$13&lt;=0,0,$M$13*PersonalLoanAPR/12),2)</f>
        <v>72.93</v>
      </c>
      <c r="O13" s="12">
        <f>ROUND(IF($M$13&lt;=0,0,MIN(PersonalLoanMinPayment,$M$13+$N$13)),2)</f>
        <v>205.0</v>
      </c>
      <c r="P13" s="12">
        <f>ROUND(IF($M$13&lt;=0,0,MIN(MAX(0,$M$13+$N$13-$O$13),MAX(0,$AB$13-$F$13-$K$13))),2)</f>
        <v>0.0</v>
      </c>
      <c r="Q13" s="12">
        <f>ROUND(MAX(0,$M$13+$N$13-$O$13-$P$13),2)</f>
        <v>6164.41</v>
      </c>
      <c r="R13" s="12">
        <f>$V$12</f>
        <v>9846.53</v>
      </c>
      <c r="S13" s="12">
        <f>ROUND(IF($R$13&lt;=0,0,$R$13*AutoLoanAPR/12),2)</f>
        <v>53.25</v>
      </c>
      <c r="T13" s="12">
        <f>ROUND(IF($R$13&lt;=0,0,MIN(AutoLoanMinPayment,$R$13+$S$13)),2)</f>
        <v>265.0</v>
      </c>
      <c r="U13" s="12">
        <f>ROUND(IF($R$13&lt;=0,0,MIN(MAX(0,$R$13+$S$13-$T$13),MAX(0,$AB$13-$F$13-$K$13-$P$13))),2)</f>
        <v>0.0</v>
      </c>
      <c r="V13" s="12">
        <f>ROUND(MAX(0,$R$13+$S$13-$T$13-$U$13),2)</f>
        <v>9634.78</v>
      </c>
      <c r="W13" s="12">
        <f>$AA$12</f>
        <v>620.0</v>
      </c>
      <c r="X13" s="12">
        <f>ROUND(IF($W$13&lt;=0,0,$W$13*ClinicPaymentPlanAPR/12),2)</f>
        <v>0.0</v>
      </c>
      <c r="Y13" s="12">
        <f>ROUND(IF($W$13&lt;=0,0,MIN(ClinicPaymentPlanMinPayment,$W$13+$X$13)),2)</f>
        <v>35.0</v>
      </c>
      <c r="Z13" s="12">
        <f>ROUND(IF($W$13&lt;=0,0,MIN(MAX(0,$W$13+$X$13-$Y$13),MAX(0,$AB$13-$F$13-$K$13-$P$13-$U$13))),2)</f>
        <v>0.0</v>
      </c>
      <c r="AA13" s="12">
        <f>ROUND(MAX(0,$W$13+$X$13-$Y$13-$Z$13),2)</f>
        <v>585.0</v>
      </c>
      <c r="AB13" s="12">
        <f>ROUND(ExtraPayment+IF($G$12&lt;=0,MastercardMinPayment,0)+IF($L$12&lt;=0,VisaCardMinPayment,0)+IF($Q$12&lt;=0,PersonalLoanMinPayment,0)+IF($V$12&lt;=0,AutoLoanMinPayment,0)+IF($AA$12&lt;=0,ClinicPaymentPlanMinPayment,0),2)</f>
        <v>300.0</v>
      </c>
      <c r="AC13" s="12">
        <f>ROUND(SUM($D$13,$I$13,$N$13,$S$13,$X$13),2)</f>
        <v>318.72</v>
      </c>
      <c r="AD13" s="12">
        <f>ROUND(SUM($G$13,$L$13,$Q$13,$V$13,$AA$13),2)</f>
        <v>24769.03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4748.62</v>
      </c>
      <c r="D14" s="12">
        <f>ROUND(IF($C$14&lt;=0,0,$C$14*MastercardAPR/12),2)</f>
        <v>114.72</v>
      </c>
      <c r="E14" s="12">
        <f>ROUND(IF($C$14&lt;=0,0,MIN(MastercardMinPayment,$C$14+$D$14)),2)</f>
        <v>246.0</v>
      </c>
      <c r="F14" s="12">
        <f>ROUND(IF($C$14&lt;=0,0,MIN(MAX(0,$C$14+$D$14-$E$14),$AB$14)),2)</f>
        <v>300.0</v>
      </c>
      <c r="G14" s="12">
        <f>ROUND(MAX(0,$C$14+$D$14-$E$14-$F$14),2)</f>
        <v>4317.34</v>
      </c>
      <c r="H14" s="12">
        <f>$L$13</f>
        <v>3636.22</v>
      </c>
      <c r="I14" s="12">
        <f>ROUND(IF($H$14&lt;=0,0,$H$14*VisaCardAPR/12),2)</f>
        <v>66.63</v>
      </c>
      <c r="J14" s="12">
        <f>ROUND(IF($H$14&lt;=0,0,MIN(VisaCardMinPayment,$H$14+$I$14)),2)</f>
        <v>123.0</v>
      </c>
      <c r="K14" s="12">
        <f>ROUND(IF($H$14&lt;=0,0,MIN(MAX(0,$H$14+$I$14-$J$14),MAX(0,$AB$14-$F$14))),2)</f>
        <v>0.0</v>
      </c>
      <c r="L14" s="12">
        <f>ROUND(MAX(0,$H$14+$I$14-$J$14-$K$14),2)</f>
        <v>3579.85</v>
      </c>
      <c r="M14" s="12">
        <f>$Q$13</f>
        <v>6164.41</v>
      </c>
      <c r="N14" s="12">
        <f>ROUND(IF($M$14&lt;=0,0,$M$14*PersonalLoanAPR/12),2)</f>
        <v>71.4</v>
      </c>
      <c r="O14" s="12">
        <f>ROUND(IF($M$14&lt;=0,0,MIN(PersonalLoanMinPayment,$M$14+$N$14)),2)</f>
        <v>205.0</v>
      </c>
      <c r="P14" s="12">
        <f>ROUND(IF($M$14&lt;=0,0,MIN(MAX(0,$M$14+$N$14-$O$14),MAX(0,$AB$14-$F$14-$K$14))),2)</f>
        <v>0.0</v>
      </c>
      <c r="Q14" s="12">
        <f>ROUND(MAX(0,$M$14+$N$14-$O$14-$P$14),2)</f>
        <v>6030.81</v>
      </c>
      <c r="R14" s="12">
        <f>$V$13</f>
        <v>9634.78</v>
      </c>
      <c r="S14" s="12">
        <f>ROUND(IF($R$14&lt;=0,0,$R$14*AutoLoanAPR/12),2)</f>
        <v>52.11</v>
      </c>
      <c r="T14" s="12">
        <f>ROUND(IF($R$14&lt;=0,0,MIN(AutoLoanMinPayment,$R$14+$S$14)),2)</f>
        <v>265.0</v>
      </c>
      <c r="U14" s="12">
        <f>ROUND(IF($R$14&lt;=0,0,MIN(MAX(0,$R$14+$S$14-$T$14),MAX(0,$AB$14-$F$14-$K$14-$P$14))),2)</f>
        <v>0.0</v>
      </c>
      <c r="V14" s="12">
        <f>ROUND(MAX(0,$R$14+$S$14-$T$14-$U$14),2)</f>
        <v>9421.89</v>
      </c>
      <c r="W14" s="12">
        <f>$AA$13</f>
        <v>585.0</v>
      </c>
      <c r="X14" s="12">
        <f>ROUND(IF($W$14&lt;=0,0,$W$14*ClinicPaymentPlanAPR/12),2)</f>
        <v>0.0</v>
      </c>
      <c r="Y14" s="12">
        <f>ROUND(IF($W$14&lt;=0,0,MIN(ClinicPaymentPlanMinPayment,$W$14+$X$14)),2)</f>
        <v>35.0</v>
      </c>
      <c r="Z14" s="12">
        <f>ROUND(IF($W$14&lt;=0,0,MIN(MAX(0,$W$14+$X$14-$Y$14),MAX(0,$AB$14-$F$14-$K$14-$P$14-$U$14))),2)</f>
        <v>0.0</v>
      </c>
      <c r="AA14" s="12">
        <f>ROUND(MAX(0,$W$14+$X$14-$Y$14-$Z$14),2)</f>
        <v>550.0</v>
      </c>
      <c r="AB14" s="12">
        <f>ROUND(ExtraPayment+IF($G$13&lt;=0,MastercardMinPayment,0)+IF($L$13&lt;=0,VisaCardMinPayment,0)+IF($Q$13&lt;=0,PersonalLoanMinPayment,0)+IF($V$13&lt;=0,AutoLoanMinPayment,0)+IF($AA$13&lt;=0,ClinicPaymentPlanMinPayment,0),2)</f>
        <v>300.0</v>
      </c>
      <c r="AC14" s="12">
        <f>ROUND(SUM($D$14,$I$14,$N$14,$S$14,$X$14),2)</f>
        <v>304.86</v>
      </c>
      <c r="AD14" s="12">
        <f>ROUND(SUM($G$14,$L$14,$Q$14,$V$14,$AA$14),2)</f>
        <v>23899.89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4317.34</v>
      </c>
      <c r="D15" s="12">
        <f>ROUND(IF($C$15&lt;=0,0,$C$15*MastercardAPR/12),2)</f>
        <v>104.3</v>
      </c>
      <c r="E15" s="12">
        <f>ROUND(IF($C$15&lt;=0,0,MIN(MastercardMinPayment,$C$15+$D$15)),2)</f>
        <v>246.0</v>
      </c>
      <c r="F15" s="12">
        <f>ROUND(IF($C$15&lt;=0,0,MIN(MAX(0,$C$15+$D$15-$E$15),$AB$15)),2)</f>
        <v>300.0</v>
      </c>
      <c r="G15" s="12">
        <f>ROUND(MAX(0,$C$15+$D$15-$E$15-$F$15),2)</f>
        <v>3875.64</v>
      </c>
      <c r="H15" s="12">
        <f>$L$14</f>
        <v>3579.85</v>
      </c>
      <c r="I15" s="12">
        <f>ROUND(IF($H$15&lt;=0,0,$H$15*VisaCardAPR/12),2)</f>
        <v>65.6</v>
      </c>
      <c r="J15" s="12">
        <f>ROUND(IF($H$15&lt;=0,0,MIN(VisaCardMinPayment,$H$15+$I$15)),2)</f>
        <v>123.0</v>
      </c>
      <c r="K15" s="12">
        <f>ROUND(IF($H$15&lt;=0,0,MIN(MAX(0,$H$15+$I$15-$J$15),MAX(0,$AB$15-$F$15))),2)</f>
        <v>0.0</v>
      </c>
      <c r="L15" s="12">
        <f>ROUND(MAX(0,$H$15+$I$15-$J$15-$K$15),2)</f>
        <v>3522.45</v>
      </c>
      <c r="M15" s="12">
        <f>$Q$14</f>
        <v>6030.81</v>
      </c>
      <c r="N15" s="12">
        <f>ROUND(IF($M$15&lt;=0,0,$M$15*PersonalLoanAPR/12),2)</f>
        <v>69.86</v>
      </c>
      <c r="O15" s="12">
        <f>ROUND(IF($M$15&lt;=0,0,MIN(PersonalLoanMinPayment,$M$15+$N$15)),2)</f>
        <v>205.0</v>
      </c>
      <c r="P15" s="12">
        <f>ROUND(IF($M$15&lt;=0,0,MIN(MAX(0,$M$15+$N$15-$O$15),MAX(0,$AB$15-$F$15-$K$15))),2)</f>
        <v>0.0</v>
      </c>
      <c r="Q15" s="12">
        <f>ROUND(MAX(0,$M$15+$N$15-$O$15-$P$15),2)</f>
        <v>5895.67</v>
      </c>
      <c r="R15" s="12">
        <f>$V$14</f>
        <v>9421.89</v>
      </c>
      <c r="S15" s="12">
        <f>ROUND(IF($R$15&lt;=0,0,$R$15*AutoLoanAPR/12),2)</f>
        <v>50.96</v>
      </c>
      <c r="T15" s="12">
        <f>ROUND(IF($R$15&lt;=0,0,MIN(AutoLoanMinPayment,$R$15+$S$15)),2)</f>
        <v>265.0</v>
      </c>
      <c r="U15" s="12">
        <f>ROUND(IF($R$15&lt;=0,0,MIN(MAX(0,$R$15+$S$15-$T$15),MAX(0,$AB$15-$F$15-$K$15-$P$15))),2)</f>
        <v>0.0</v>
      </c>
      <c r="V15" s="12">
        <f>ROUND(MAX(0,$R$15+$S$15-$T$15-$U$15),2)</f>
        <v>9207.85</v>
      </c>
      <c r="W15" s="12">
        <f>$AA$14</f>
        <v>550.0</v>
      </c>
      <c r="X15" s="12">
        <f>ROUND(IF($W$15&lt;=0,0,$W$15*ClinicPaymentPlanAPR/12),2)</f>
        <v>0.0</v>
      </c>
      <c r="Y15" s="12">
        <f>ROUND(IF($W$15&lt;=0,0,MIN(ClinicPaymentPlanMinPayment,$W$15+$X$15)),2)</f>
        <v>35.0</v>
      </c>
      <c r="Z15" s="12">
        <f>ROUND(IF($W$15&lt;=0,0,MIN(MAX(0,$W$15+$X$15-$Y$15),MAX(0,$AB$15-$F$15-$K$15-$P$15-$U$15))),2)</f>
        <v>0.0</v>
      </c>
      <c r="AA15" s="12">
        <f>ROUND(MAX(0,$W$15+$X$15-$Y$15-$Z$15),2)</f>
        <v>515.0</v>
      </c>
      <c r="AB15" s="12">
        <f>ROUND(ExtraPayment+IF($G$14&lt;=0,MastercardMinPayment,0)+IF($L$14&lt;=0,VisaCardMinPayment,0)+IF($Q$14&lt;=0,PersonalLoanMinPayment,0)+IF($V$14&lt;=0,AutoLoanMinPayment,0)+IF($AA$14&lt;=0,ClinicPaymentPlanMinPayment,0),2)</f>
        <v>300.0</v>
      </c>
      <c r="AC15" s="12">
        <f>ROUND(SUM($D$15,$I$15,$N$15,$S$15,$X$15),2)</f>
        <v>290.72</v>
      </c>
      <c r="AD15" s="12">
        <f>ROUND(SUM($G$15,$L$15,$Q$15,$V$15,$AA$15),2)</f>
        <v>23016.61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3875.64</v>
      </c>
      <c r="D16" s="12">
        <f>ROUND(IF($C$16&lt;=0,0,$C$16*MastercardAPR/12),2)</f>
        <v>93.63</v>
      </c>
      <c r="E16" s="12">
        <f>ROUND(IF($C$16&lt;=0,0,MIN(MastercardMinPayment,$C$16+$D$16)),2)</f>
        <v>246.0</v>
      </c>
      <c r="F16" s="12">
        <f>ROUND(IF($C$16&lt;=0,0,MIN(MAX(0,$C$16+$D$16-$E$16),$AB$16)),2)</f>
        <v>300.0</v>
      </c>
      <c r="G16" s="12">
        <f>ROUND(MAX(0,$C$16+$D$16-$E$16-$F$16),2)</f>
        <v>3423.27</v>
      </c>
      <c r="H16" s="12">
        <f>$L$15</f>
        <v>3522.45</v>
      </c>
      <c r="I16" s="12">
        <f>ROUND(IF($H$16&lt;=0,0,$H$16*VisaCardAPR/12),2)</f>
        <v>64.55</v>
      </c>
      <c r="J16" s="12">
        <f>ROUND(IF($H$16&lt;=0,0,MIN(VisaCardMinPayment,$H$16+$I$16)),2)</f>
        <v>123.0</v>
      </c>
      <c r="K16" s="12">
        <f>ROUND(IF($H$16&lt;=0,0,MIN(MAX(0,$H$16+$I$16-$J$16),MAX(0,$AB$16-$F$16))),2)</f>
        <v>0.0</v>
      </c>
      <c r="L16" s="12">
        <f>ROUND(MAX(0,$H$16+$I$16-$J$16-$K$16),2)</f>
        <v>3464.0</v>
      </c>
      <c r="M16" s="12">
        <f>$Q$15</f>
        <v>5895.67</v>
      </c>
      <c r="N16" s="12">
        <f>ROUND(IF($M$16&lt;=0,0,$M$16*PersonalLoanAPR/12),2)</f>
        <v>68.29</v>
      </c>
      <c r="O16" s="12">
        <f>ROUND(IF($M$16&lt;=0,0,MIN(PersonalLoanMinPayment,$M$16+$N$16)),2)</f>
        <v>205.0</v>
      </c>
      <c r="P16" s="12">
        <f>ROUND(IF($M$16&lt;=0,0,MIN(MAX(0,$M$16+$N$16-$O$16),MAX(0,$AB$16-$F$16-$K$16))),2)</f>
        <v>0.0</v>
      </c>
      <c r="Q16" s="12">
        <f>ROUND(MAX(0,$M$16+$N$16-$O$16-$P$16),2)</f>
        <v>5758.96</v>
      </c>
      <c r="R16" s="12">
        <f>$V$15</f>
        <v>9207.85</v>
      </c>
      <c r="S16" s="12">
        <f>ROUND(IF($R$16&lt;=0,0,$R$16*AutoLoanAPR/12),2)</f>
        <v>49.8</v>
      </c>
      <c r="T16" s="12">
        <f>ROUND(IF($R$16&lt;=0,0,MIN(AutoLoanMinPayment,$R$16+$S$16)),2)</f>
        <v>265.0</v>
      </c>
      <c r="U16" s="12">
        <f>ROUND(IF($R$16&lt;=0,0,MIN(MAX(0,$R$16+$S$16-$T$16),MAX(0,$AB$16-$F$16-$K$16-$P$16))),2)</f>
        <v>0.0</v>
      </c>
      <c r="V16" s="12">
        <f>ROUND(MAX(0,$R$16+$S$16-$T$16-$U$16),2)</f>
        <v>8992.65</v>
      </c>
      <c r="W16" s="12">
        <f>$AA$15</f>
        <v>515.0</v>
      </c>
      <c r="X16" s="12">
        <f>ROUND(IF($W$16&lt;=0,0,$W$16*ClinicPaymentPlanAPR/12),2)</f>
        <v>0.0</v>
      </c>
      <c r="Y16" s="12">
        <f>ROUND(IF($W$16&lt;=0,0,MIN(ClinicPaymentPlanMinPayment,$W$16+$X$16)),2)</f>
        <v>35.0</v>
      </c>
      <c r="Z16" s="12">
        <f>ROUND(IF($W$16&lt;=0,0,MIN(MAX(0,$W$16+$X$16-$Y$16),MAX(0,$AB$16-$F$16-$K$16-$P$16-$U$16))),2)</f>
        <v>0.0</v>
      </c>
      <c r="AA16" s="12">
        <f>ROUND(MAX(0,$W$16+$X$16-$Y$16-$Z$16),2)</f>
        <v>480.0</v>
      </c>
      <c r="AB16" s="12">
        <f>ROUND(ExtraPayment+IF($G$15&lt;=0,MastercardMinPayment,0)+IF($L$15&lt;=0,VisaCardMinPayment,0)+IF($Q$15&lt;=0,PersonalLoanMinPayment,0)+IF($V$15&lt;=0,AutoLoanMinPayment,0)+IF($AA$15&lt;=0,ClinicPaymentPlanMinPayment,0),2)</f>
        <v>300.0</v>
      </c>
      <c r="AC16" s="12">
        <f>ROUND(SUM($D$16,$I$16,$N$16,$S$16,$X$16),2)</f>
        <v>276.27</v>
      </c>
      <c r="AD16" s="12">
        <f>ROUND(SUM($G$16,$L$16,$Q$16,$V$16,$AA$16),2)</f>
        <v>22118.88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3423.27</v>
      </c>
      <c r="D17" s="12">
        <f>ROUND(IF($C$17&lt;=0,0,$C$17*MastercardAPR/12),2)</f>
        <v>82.7</v>
      </c>
      <c r="E17" s="12">
        <f>ROUND(IF($C$17&lt;=0,0,MIN(MastercardMinPayment,$C$17+$D$17)),2)</f>
        <v>246.0</v>
      </c>
      <c r="F17" s="12">
        <f>ROUND(IF($C$17&lt;=0,0,MIN(MAX(0,$C$17+$D$17-$E$17),$AB$17)),2)</f>
        <v>300.0</v>
      </c>
      <c r="G17" s="12">
        <f>ROUND(MAX(0,$C$17+$D$17-$E$17-$F$17),2)</f>
        <v>2959.97</v>
      </c>
      <c r="H17" s="12">
        <f>$L$16</f>
        <v>3464.0</v>
      </c>
      <c r="I17" s="12">
        <f>ROUND(IF($H$17&lt;=0,0,$H$17*VisaCardAPR/12),2)</f>
        <v>63.48</v>
      </c>
      <c r="J17" s="12">
        <f>ROUND(IF($H$17&lt;=0,0,MIN(VisaCardMinPayment,$H$17+$I$17)),2)</f>
        <v>123.0</v>
      </c>
      <c r="K17" s="12">
        <f>ROUND(IF($H$17&lt;=0,0,MIN(MAX(0,$H$17+$I$17-$J$17),MAX(0,$AB$17-$F$17))),2)</f>
        <v>0.0</v>
      </c>
      <c r="L17" s="12">
        <f>ROUND(MAX(0,$H$17+$I$17-$J$17-$K$17),2)</f>
        <v>3404.48</v>
      </c>
      <c r="M17" s="12">
        <f>$Q$16</f>
        <v>5758.96</v>
      </c>
      <c r="N17" s="12">
        <f>ROUND(IF($M$17&lt;=0,0,$M$17*PersonalLoanAPR/12),2)</f>
        <v>66.71</v>
      </c>
      <c r="O17" s="12">
        <f>ROUND(IF($M$17&lt;=0,0,MIN(PersonalLoanMinPayment,$M$17+$N$17)),2)</f>
        <v>205.0</v>
      </c>
      <c r="P17" s="12">
        <f>ROUND(IF($M$17&lt;=0,0,MIN(MAX(0,$M$17+$N$17-$O$17),MAX(0,$AB$17-$F$17-$K$17))),2)</f>
        <v>0.0</v>
      </c>
      <c r="Q17" s="12">
        <f>ROUND(MAX(0,$M$17+$N$17-$O$17-$P$17),2)</f>
        <v>5620.67</v>
      </c>
      <c r="R17" s="12">
        <f>$V$16</f>
        <v>8992.65</v>
      </c>
      <c r="S17" s="12">
        <f>ROUND(IF($R$17&lt;=0,0,$R$17*AutoLoanAPR/12),2)</f>
        <v>48.64</v>
      </c>
      <c r="T17" s="12">
        <f>ROUND(IF($R$17&lt;=0,0,MIN(AutoLoanMinPayment,$R$17+$S$17)),2)</f>
        <v>265.0</v>
      </c>
      <c r="U17" s="12">
        <f>ROUND(IF($R$17&lt;=0,0,MIN(MAX(0,$R$17+$S$17-$T$17),MAX(0,$AB$17-$F$17-$K$17-$P$17))),2)</f>
        <v>0.0</v>
      </c>
      <c r="V17" s="12">
        <f>ROUND(MAX(0,$R$17+$S$17-$T$17-$U$17),2)</f>
        <v>8776.29</v>
      </c>
      <c r="W17" s="12">
        <f>$AA$16</f>
        <v>480.0</v>
      </c>
      <c r="X17" s="12">
        <f>ROUND(IF($W$17&lt;=0,0,$W$17*ClinicPaymentPlanAPR/12),2)</f>
        <v>0.0</v>
      </c>
      <c r="Y17" s="12">
        <f>ROUND(IF($W$17&lt;=0,0,MIN(ClinicPaymentPlanMinPayment,$W$17+$X$17)),2)</f>
        <v>35.0</v>
      </c>
      <c r="Z17" s="12">
        <f>ROUND(IF($W$17&lt;=0,0,MIN(MAX(0,$W$17+$X$17-$Y$17),MAX(0,$AB$17-$F$17-$K$17-$P$17-$U$17))),2)</f>
        <v>0.0</v>
      </c>
      <c r="AA17" s="12">
        <f>ROUND(MAX(0,$W$17+$X$17-$Y$17-$Z$17),2)</f>
        <v>445.0</v>
      </c>
      <c r="AB17" s="12">
        <f>ROUND(ExtraPayment+IF($G$16&lt;=0,MastercardMinPayment,0)+IF($L$16&lt;=0,VisaCardMinPayment,0)+IF($Q$16&lt;=0,PersonalLoanMinPayment,0)+IF($V$16&lt;=0,AutoLoanMinPayment,0)+IF($AA$16&lt;=0,ClinicPaymentPlanMinPayment,0),2)</f>
        <v>300.0</v>
      </c>
      <c r="AC17" s="12">
        <f>ROUND(SUM($D$17,$I$17,$N$17,$S$17,$X$17),2)</f>
        <v>261.53</v>
      </c>
      <c r="AD17" s="12">
        <f>ROUND(SUM($G$17,$L$17,$Q$17,$V$17,$AA$17),2)</f>
        <v>21206.41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2959.97</v>
      </c>
      <c r="D18" s="12">
        <f>ROUND(IF($C$18&lt;=0,0,$C$18*MastercardAPR/12),2)</f>
        <v>71.51</v>
      </c>
      <c r="E18" s="12">
        <f>ROUND(IF($C$18&lt;=0,0,MIN(MastercardMinPayment,$C$18+$D$18)),2)</f>
        <v>246.0</v>
      </c>
      <c r="F18" s="12">
        <f>ROUND(IF($C$18&lt;=0,0,MIN(MAX(0,$C$18+$D$18-$E$18),$AB$18)),2)</f>
        <v>300.0</v>
      </c>
      <c r="G18" s="12">
        <f>ROUND(MAX(0,$C$18+$D$18-$E$18-$F$18),2)</f>
        <v>2485.48</v>
      </c>
      <c r="H18" s="12">
        <f>$L$17</f>
        <v>3404.48</v>
      </c>
      <c r="I18" s="12">
        <f>ROUND(IF($H$18&lt;=0,0,$H$18*VisaCardAPR/12),2)</f>
        <v>62.39</v>
      </c>
      <c r="J18" s="12">
        <f>ROUND(IF($H$18&lt;=0,0,MIN(VisaCardMinPayment,$H$18+$I$18)),2)</f>
        <v>123.0</v>
      </c>
      <c r="K18" s="12">
        <f>ROUND(IF($H$18&lt;=0,0,MIN(MAX(0,$H$18+$I$18-$J$18),MAX(0,$AB$18-$F$18))),2)</f>
        <v>0.0</v>
      </c>
      <c r="L18" s="12">
        <f>ROUND(MAX(0,$H$18+$I$18-$J$18-$K$18),2)</f>
        <v>3343.87</v>
      </c>
      <c r="M18" s="12">
        <f>$Q$17</f>
        <v>5620.67</v>
      </c>
      <c r="N18" s="12">
        <f>ROUND(IF($M$18&lt;=0,0,$M$18*PersonalLoanAPR/12),2)</f>
        <v>65.11</v>
      </c>
      <c r="O18" s="12">
        <f>ROUND(IF($M$18&lt;=0,0,MIN(PersonalLoanMinPayment,$M$18+$N$18)),2)</f>
        <v>205.0</v>
      </c>
      <c r="P18" s="12">
        <f>ROUND(IF($M$18&lt;=0,0,MIN(MAX(0,$M$18+$N$18-$O$18),MAX(0,$AB$18-$F$18-$K$18))),2)</f>
        <v>0.0</v>
      </c>
      <c r="Q18" s="12">
        <f>ROUND(MAX(0,$M$18+$N$18-$O$18-$P$18),2)</f>
        <v>5480.78</v>
      </c>
      <c r="R18" s="12">
        <f>$V$17</f>
        <v>8776.29</v>
      </c>
      <c r="S18" s="12">
        <f>ROUND(IF($R$18&lt;=0,0,$R$18*AutoLoanAPR/12),2)</f>
        <v>47.47</v>
      </c>
      <c r="T18" s="12">
        <f>ROUND(IF($R$18&lt;=0,0,MIN(AutoLoanMinPayment,$R$18+$S$18)),2)</f>
        <v>265.0</v>
      </c>
      <c r="U18" s="12">
        <f>ROUND(IF($R$18&lt;=0,0,MIN(MAX(0,$R$18+$S$18-$T$18),MAX(0,$AB$18-$F$18-$K$18-$P$18))),2)</f>
        <v>0.0</v>
      </c>
      <c r="V18" s="12">
        <f>ROUND(MAX(0,$R$18+$S$18-$T$18-$U$18),2)</f>
        <v>8558.76</v>
      </c>
      <c r="W18" s="12">
        <f>$AA$17</f>
        <v>445.0</v>
      </c>
      <c r="X18" s="12">
        <f>ROUND(IF($W$18&lt;=0,0,$W$18*ClinicPaymentPlanAPR/12),2)</f>
        <v>0.0</v>
      </c>
      <c r="Y18" s="12">
        <f>ROUND(IF($W$18&lt;=0,0,MIN(ClinicPaymentPlanMinPayment,$W$18+$X$18)),2)</f>
        <v>35.0</v>
      </c>
      <c r="Z18" s="12">
        <f>ROUND(IF($W$18&lt;=0,0,MIN(MAX(0,$W$18+$X$18-$Y$18),MAX(0,$AB$18-$F$18-$K$18-$P$18-$U$18))),2)</f>
        <v>0.0</v>
      </c>
      <c r="AA18" s="12">
        <f>ROUND(MAX(0,$W$18+$X$18-$Y$18-$Z$18),2)</f>
        <v>410.0</v>
      </c>
      <c r="AB18" s="12">
        <f>ROUND(ExtraPayment+IF($G$17&lt;=0,MastercardMinPayment,0)+IF($L$17&lt;=0,VisaCardMinPayment,0)+IF($Q$17&lt;=0,PersonalLoanMinPayment,0)+IF($V$17&lt;=0,AutoLoanMinPayment,0)+IF($AA$17&lt;=0,ClinicPaymentPlanMinPayment,0),2)</f>
        <v>300.0</v>
      </c>
      <c r="AC18" s="12">
        <f>ROUND(SUM($D$18,$I$18,$N$18,$S$18,$X$18),2)</f>
        <v>246.48</v>
      </c>
      <c r="AD18" s="12">
        <f>ROUND(SUM($G$18,$L$18,$Q$18,$V$18,$AA$18),2)</f>
        <v>20278.89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2485.48</v>
      </c>
      <c r="D19" s="12">
        <f>ROUND(IF($C$19&lt;=0,0,$C$19*MastercardAPR/12),2)</f>
        <v>60.05</v>
      </c>
      <c r="E19" s="12">
        <f>ROUND(IF($C$19&lt;=0,0,MIN(MastercardMinPayment,$C$19+$D$19)),2)</f>
        <v>246.0</v>
      </c>
      <c r="F19" s="12">
        <f>ROUND(IF($C$19&lt;=0,0,MIN(MAX(0,$C$19+$D$19-$E$19),$AB$19)),2)</f>
        <v>300.0</v>
      </c>
      <c r="G19" s="12">
        <f>ROUND(MAX(0,$C$19+$D$19-$E$19-$F$19),2)</f>
        <v>1999.53</v>
      </c>
      <c r="H19" s="12">
        <f>$L$18</f>
        <v>3343.87</v>
      </c>
      <c r="I19" s="12">
        <f>ROUND(IF($H$19&lt;=0,0,$H$19*VisaCardAPR/12),2)</f>
        <v>61.28</v>
      </c>
      <c r="J19" s="12">
        <f>ROUND(IF($H$19&lt;=0,0,MIN(VisaCardMinPayment,$H$19+$I$19)),2)</f>
        <v>123.0</v>
      </c>
      <c r="K19" s="12">
        <f>ROUND(IF($H$19&lt;=0,0,MIN(MAX(0,$H$19+$I$19-$J$19),MAX(0,$AB$19-$F$19))),2)</f>
        <v>0.0</v>
      </c>
      <c r="L19" s="12">
        <f>ROUND(MAX(0,$H$19+$I$19-$J$19-$K$19),2)</f>
        <v>3282.15</v>
      </c>
      <c r="M19" s="12">
        <f>$Q$18</f>
        <v>5480.78</v>
      </c>
      <c r="N19" s="12">
        <f>ROUND(IF($M$19&lt;=0,0,$M$19*PersonalLoanAPR/12),2)</f>
        <v>63.49</v>
      </c>
      <c r="O19" s="12">
        <f>ROUND(IF($M$19&lt;=0,0,MIN(PersonalLoanMinPayment,$M$19+$N$19)),2)</f>
        <v>205.0</v>
      </c>
      <c r="P19" s="12">
        <f>ROUND(IF($M$19&lt;=0,0,MIN(MAX(0,$M$19+$N$19-$O$19),MAX(0,$AB$19-$F$19-$K$19))),2)</f>
        <v>0.0</v>
      </c>
      <c r="Q19" s="12">
        <f>ROUND(MAX(0,$M$19+$N$19-$O$19-$P$19),2)</f>
        <v>5339.27</v>
      </c>
      <c r="R19" s="12">
        <f>$V$18</f>
        <v>8558.76</v>
      </c>
      <c r="S19" s="12">
        <f>ROUND(IF($R$19&lt;=0,0,$R$19*AutoLoanAPR/12),2)</f>
        <v>46.29</v>
      </c>
      <c r="T19" s="12">
        <f>ROUND(IF($R$19&lt;=0,0,MIN(AutoLoanMinPayment,$R$19+$S$19)),2)</f>
        <v>265.0</v>
      </c>
      <c r="U19" s="12">
        <f>ROUND(IF($R$19&lt;=0,0,MIN(MAX(0,$R$19+$S$19-$T$19),MAX(0,$AB$19-$F$19-$K$19-$P$19))),2)</f>
        <v>0.0</v>
      </c>
      <c r="V19" s="12">
        <f>ROUND(MAX(0,$R$19+$S$19-$T$19-$U$19),2)</f>
        <v>8340.05</v>
      </c>
      <c r="W19" s="12">
        <f>$AA$18</f>
        <v>410.0</v>
      </c>
      <c r="X19" s="12">
        <f>ROUND(IF($W$19&lt;=0,0,$W$19*ClinicPaymentPlanAPR/12),2)</f>
        <v>0.0</v>
      </c>
      <c r="Y19" s="12">
        <f>ROUND(IF($W$19&lt;=0,0,MIN(ClinicPaymentPlanMinPayment,$W$19+$X$19)),2)</f>
        <v>35.0</v>
      </c>
      <c r="Z19" s="12">
        <f>ROUND(IF($W$19&lt;=0,0,MIN(MAX(0,$W$19+$X$19-$Y$19),MAX(0,$AB$19-$F$19-$K$19-$P$19-$U$19))),2)</f>
        <v>0.0</v>
      </c>
      <c r="AA19" s="12">
        <f>ROUND(MAX(0,$W$19+$X$19-$Y$19-$Z$19),2)</f>
        <v>375.0</v>
      </c>
      <c r="AB19" s="12">
        <f>ROUND(ExtraPayment+IF($G$18&lt;=0,MastercardMinPayment,0)+IF($L$18&lt;=0,VisaCardMinPayment,0)+IF($Q$18&lt;=0,PersonalLoanMinPayment,0)+IF($V$18&lt;=0,AutoLoanMinPayment,0)+IF($AA$18&lt;=0,ClinicPaymentPlanMinPayment,0),2)</f>
        <v>300.0</v>
      </c>
      <c r="AC19" s="12">
        <f>ROUND(SUM($D$19,$I$19,$N$19,$S$19,$X$19),2)</f>
        <v>231.11</v>
      </c>
      <c r="AD19" s="12">
        <f>ROUND(SUM($G$19,$L$19,$Q$19,$V$19,$AA$19),2)</f>
        <v>19336.0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1999.53</v>
      </c>
      <c r="D20" s="12">
        <f>ROUND(IF($C$20&lt;=0,0,$C$20*MastercardAPR/12),2)</f>
        <v>48.31</v>
      </c>
      <c r="E20" s="12">
        <f>ROUND(IF($C$20&lt;=0,0,MIN(MastercardMinPayment,$C$20+$D$20)),2)</f>
        <v>246.0</v>
      </c>
      <c r="F20" s="12">
        <f>ROUND(IF($C$20&lt;=0,0,MIN(MAX(0,$C$20+$D$20-$E$20),$AB$20)),2)</f>
        <v>300.0</v>
      </c>
      <c r="G20" s="12">
        <f>ROUND(MAX(0,$C$20+$D$20-$E$20-$F$20),2)</f>
        <v>1501.84</v>
      </c>
      <c r="H20" s="12">
        <f>$L$19</f>
        <v>3282.15</v>
      </c>
      <c r="I20" s="12">
        <f>ROUND(IF($H$20&lt;=0,0,$H$20*VisaCardAPR/12),2)</f>
        <v>60.15</v>
      </c>
      <c r="J20" s="12">
        <f>ROUND(IF($H$20&lt;=0,0,MIN(VisaCardMinPayment,$H$20+$I$20)),2)</f>
        <v>123.0</v>
      </c>
      <c r="K20" s="12">
        <f>ROUND(IF($H$20&lt;=0,0,MIN(MAX(0,$H$20+$I$20-$J$20),MAX(0,$AB$20-$F$20))),2)</f>
        <v>0.0</v>
      </c>
      <c r="L20" s="12">
        <f>ROUND(MAX(0,$H$20+$I$20-$J$20-$K$20),2)</f>
        <v>3219.3</v>
      </c>
      <c r="M20" s="12">
        <f>$Q$19</f>
        <v>5339.27</v>
      </c>
      <c r="N20" s="12">
        <f>ROUND(IF($M$20&lt;=0,0,$M$20*PersonalLoanAPR/12),2)</f>
        <v>61.85</v>
      </c>
      <c r="O20" s="12">
        <f>ROUND(IF($M$20&lt;=0,0,MIN(PersonalLoanMinPayment,$M$20+$N$20)),2)</f>
        <v>205.0</v>
      </c>
      <c r="P20" s="12">
        <f>ROUND(IF($M$20&lt;=0,0,MIN(MAX(0,$M$20+$N$20-$O$20),MAX(0,$AB$20-$F$20-$K$20))),2)</f>
        <v>0.0</v>
      </c>
      <c r="Q20" s="12">
        <f>ROUND(MAX(0,$M$20+$N$20-$O$20-$P$20),2)</f>
        <v>5196.12</v>
      </c>
      <c r="R20" s="12">
        <f>$V$19</f>
        <v>8340.05</v>
      </c>
      <c r="S20" s="12">
        <f>ROUND(IF($R$20&lt;=0,0,$R$20*AutoLoanAPR/12),2)</f>
        <v>45.11</v>
      </c>
      <c r="T20" s="12">
        <f>ROUND(IF($R$20&lt;=0,0,MIN(AutoLoanMinPayment,$R$20+$S$20)),2)</f>
        <v>265.0</v>
      </c>
      <c r="U20" s="12">
        <f>ROUND(IF($R$20&lt;=0,0,MIN(MAX(0,$R$20+$S$20-$T$20),MAX(0,$AB$20-$F$20-$K$20-$P$20))),2)</f>
        <v>0.0</v>
      </c>
      <c r="V20" s="12">
        <f>ROUND(MAX(0,$R$20+$S$20-$T$20-$U$20),2)</f>
        <v>8120.16</v>
      </c>
      <c r="W20" s="12">
        <f>$AA$19</f>
        <v>375.0</v>
      </c>
      <c r="X20" s="12">
        <f>ROUND(IF($W$20&lt;=0,0,$W$20*ClinicPaymentPlanAPR/12),2)</f>
        <v>0.0</v>
      </c>
      <c r="Y20" s="12">
        <f>ROUND(IF($W$20&lt;=0,0,MIN(ClinicPaymentPlanMinPayment,$W$20+$X$20)),2)</f>
        <v>35.0</v>
      </c>
      <c r="Z20" s="12">
        <f>ROUND(IF($W$20&lt;=0,0,MIN(MAX(0,$W$20+$X$20-$Y$20),MAX(0,$AB$20-$F$20-$K$20-$P$20-$U$20))),2)</f>
        <v>0.0</v>
      </c>
      <c r="AA20" s="12">
        <f>ROUND(MAX(0,$W$20+$X$20-$Y$20-$Z$20),2)</f>
        <v>340.0</v>
      </c>
      <c r="AB20" s="12">
        <f>ROUND(ExtraPayment+IF($G$19&lt;=0,MastercardMinPayment,0)+IF($L$19&lt;=0,VisaCardMinPayment,0)+IF($Q$19&lt;=0,PersonalLoanMinPayment,0)+IF($V$19&lt;=0,AutoLoanMinPayment,0)+IF($AA$19&lt;=0,ClinicPaymentPlanMinPayment,0),2)</f>
        <v>300.0</v>
      </c>
      <c r="AC20" s="12">
        <f>ROUND(SUM($D$20,$I$20,$N$20,$S$20,$X$20),2)</f>
        <v>215.42</v>
      </c>
      <c r="AD20" s="12">
        <f>ROUND(SUM($G$20,$L$20,$Q$20,$V$20,$AA$20),2)</f>
        <v>18377.42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1501.84</v>
      </c>
      <c r="D21" s="12">
        <f>ROUND(IF($C$21&lt;=0,0,$C$21*MastercardAPR/12),2)</f>
        <v>36.28</v>
      </c>
      <c r="E21" s="12">
        <f>ROUND(IF($C$21&lt;=0,0,MIN(MastercardMinPayment,$C$21+$D$21)),2)</f>
        <v>246.0</v>
      </c>
      <c r="F21" s="12">
        <f>ROUND(IF($C$21&lt;=0,0,MIN(MAX(0,$C$21+$D$21-$E$21),$AB$21)),2)</f>
        <v>300.0</v>
      </c>
      <c r="G21" s="12">
        <f>ROUND(MAX(0,$C$21+$D$21-$E$21-$F$21),2)</f>
        <v>992.12</v>
      </c>
      <c r="H21" s="12">
        <f>$L$20</f>
        <v>3219.3</v>
      </c>
      <c r="I21" s="12">
        <f>ROUND(IF($H$21&lt;=0,0,$H$21*VisaCardAPR/12),2)</f>
        <v>58.99</v>
      </c>
      <c r="J21" s="12">
        <f>ROUND(IF($H$21&lt;=0,0,MIN(VisaCardMinPayment,$H$21+$I$21)),2)</f>
        <v>123.0</v>
      </c>
      <c r="K21" s="12">
        <f>ROUND(IF($H$21&lt;=0,0,MIN(MAX(0,$H$21+$I$21-$J$21),MAX(0,$AB$21-$F$21))),2)</f>
        <v>0.0</v>
      </c>
      <c r="L21" s="12">
        <f>ROUND(MAX(0,$H$21+$I$21-$J$21-$K$21),2)</f>
        <v>3155.29</v>
      </c>
      <c r="M21" s="12">
        <f>$Q$20</f>
        <v>5196.12</v>
      </c>
      <c r="N21" s="12">
        <f>ROUND(IF($M$21&lt;=0,0,$M$21*PersonalLoanAPR/12),2)</f>
        <v>60.19</v>
      </c>
      <c r="O21" s="12">
        <f>ROUND(IF($M$21&lt;=0,0,MIN(PersonalLoanMinPayment,$M$21+$N$21)),2)</f>
        <v>205.0</v>
      </c>
      <c r="P21" s="12">
        <f>ROUND(IF($M$21&lt;=0,0,MIN(MAX(0,$M$21+$N$21-$O$21),MAX(0,$AB$21-$F$21-$K$21))),2)</f>
        <v>0.0</v>
      </c>
      <c r="Q21" s="12">
        <f>ROUND(MAX(0,$M$21+$N$21-$O$21-$P$21),2)</f>
        <v>5051.31</v>
      </c>
      <c r="R21" s="12">
        <f>$V$20</f>
        <v>8120.16</v>
      </c>
      <c r="S21" s="12">
        <f>ROUND(IF($R$21&lt;=0,0,$R$21*AutoLoanAPR/12),2)</f>
        <v>43.92</v>
      </c>
      <c r="T21" s="12">
        <f>ROUND(IF($R$21&lt;=0,0,MIN(AutoLoanMinPayment,$R$21+$S$21)),2)</f>
        <v>265.0</v>
      </c>
      <c r="U21" s="12">
        <f>ROUND(IF($R$21&lt;=0,0,MIN(MAX(0,$R$21+$S$21-$T$21),MAX(0,$AB$21-$F$21-$K$21-$P$21))),2)</f>
        <v>0.0</v>
      </c>
      <c r="V21" s="12">
        <f>ROUND(MAX(0,$R$21+$S$21-$T$21-$U$21),2)</f>
        <v>7899.08</v>
      </c>
      <c r="W21" s="12">
        <f>$AA$20</f>
        <v>340.0</v>
      </c>
      <c r="X21" s="12">
        <f>ROUND(IF($W$21&lt;=0,0,$W$21*ClinicPaymentPlanAPR/12),2)</f>
        <v>0.0</v>
      </c>
      <c r="Y21" s="12">
        <f>ROUND(IF($W$21&lt;=0,0,MIN(ClinicPaymentPlanMinPayment,$W$21+$X$21)),2)</f>
        <v>35.0</v>
      </c>
      <c r="Z21" s="12">
        <f>ROUND(IF($W$21&lt;=0,0,MIN(MAX(0,$W$21+$X$21-$Y$21),MAX(0,$AB$21-$F$21-$K$21-$P$21-$U$21))),2)</f>
        <v>0.0</v>
      </c>
      <c r="AA21" s="12">
        <f>ROUND(MAX(0,$W$21+$X$21-$Y$21-$Z$21),2)</f>
        <v>305.0</v>
      </c>
      <c r="AB21" s="12">
        <f>ROUND(ExtraPayment+IF($G$20&lt;=0,MastercardMinPayment,0)+IF($L$20&lt;=0,VisaCardMinPayment,0)+IF($Q$20&lt;=0,PersonalLoanMinPayment,0)+IF($V$20&lt;=0,AutoLoanMinPayment,0)+IF($AA$20&lt;=0,ClinicPaymentPlanMinPayment,0),2)</f>
        <v>300.0</v>
      </c>
      <c r="AC21" s="12">
        <f>ROUND(SUM($D$21,$I$21,$N$21,$S$21,$X$21),2)</f>
        <v>199.38</v>
      </c>
      <c r="AD21" s="12">
        <f>ROUND(SUM($G$21,$L$21,$Q$21,$V$21,$AA$21),2)</f>
        <v>17402.8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992.12</v>
      </c>
      <c r="D22" s="12">
        <f>ROUND(IF($C$22&lt;=0,0,$C$22*MastercardAPR/12),2)</f>
        <v>23.97</v>
      </c>
      <c r="E22" s="12">
        <f>ROUND(IF($C$22&lt;=0,0,MIN(MastercardMinPayment,$C$22+$D$22)),2)</f>
        <v>246.0</v>
      </c>
      <c r="F22" s="12">
        <f>ROUND(IF($C$22&lt;=0,0,MIN(MAX(0,$C$22+$D$22-$E$22),$AB$22)),2)</f>
        <v>300.0</v>
      </c>
      <c r="G22" s="12">
        <f>ROUND(MAX(0,$C$22+$D$22-$E$22-$F$22),2)</f>
        <v>470.09</v>
      </c>
      <c r="H22" s="12">
        <f>$L$21</f>
        <v>3155.29</v>
      </c>
      <c r="I22" s="12">
        <f>ROUND(IF($H$22&lt;=0,0,$H$22*VisaCardAPR/12),2)</f>
        <v>57.82</v>
      </c>
      <c r="J22" s="12">
        <f>ROUND(IF($H$22&lt;=0,0,MIN(VisaCardMinPayment,$H$22+$I$22)),2)</f>
        <v>123.0</v>
      </c>
      <c r="K22" s="12">
        <f>ROUND(IF($H$22&lt;=0,0,MIN(MAX(0,$H$22+$I$22-$J$22),MAX(0,$AB$22-$F$22))),2)</f>
        <v>0.0</v>
      </c>
      <c r="L22" s="12">
        <f>ROUND(MAX(0,$H$22+$I$22-$J$22-$K$22),2)</f>
        <v>3090.11</v>
      </c>
      <c r="M22" s="12">
        <f>$Q$21</f>
        <v>5051.31</v>
      </c>
      <c r="N22" s="12">
        <f>ROUND(IF($M$22&lt;=0,0,$M$22*PersonalLoanAPR/12),2)</f>
        <v>58.51</v>
      </c>
      <c r="O22" s="12">
        <f>ROUND(IF($M$22&lt;=0,0,MIN(PersonalLoanMinPayment,$M$22+$N$22)),2)</f>
        <v>205.0</v>
      </c>
      <c r="P22" s="12">
        <f>ROUND(IF($M$22&lt;=0,0,MIN(MAX(0,$M$22+$N$22-$O$22),MAX(0,$AB$22-$F$22-$K$22))),2)</f>
        <v>0.0</v>
      </c>
      <c r="Q22" s="12">
        <f>ROUND(MAX(0,$M$22+$N$22-$O$22-$P$22),2)</f>
        <v>4904.82</v>
      </c>
      <c r="R22" s="12">
        <f>$V$21</f>
        <v>7899.08</v>
      </c>
      <c r="S22" s="12">
        <f>ROUND(IF($R$22&lt;=0,0,$R$22*AutoLoanAPR/12),2)</f>
        <v>42.72</v>
      </c>
      <c r="T22" s="12">
        <f>ROUND(IF($R$22&lt;=0,0,MIN(AutoLoanMinPayment,$R$22+$S$22)),2)</f>
        <v>265.0</v>
      </c>
      <c r="U22" s="12">
        <f>ROUND(IF($R$22&lt;=0,0,MIN(MAX(0,$R$22+$S$22-$T$22),MAX(0,$AB$22-$F$22-$K$22-$P$22))),2)</f>
        <v>0.0</v>
      </c>
      <c r="V22" s="12">
        <f>ROUND(MAX(0,$R$22+$S$22-$T$22-$U$22),2)</f>
        <v>7676.8</v>
      </c>
      <c r="W22" s="12">
        <f>$AA$21</f>
        <v>305.0</v>
      </c>
      <c r="X22" s="12">
        <f>ROUND(IF($W$22&lt;=0,0,$W$22*ClinicPaymentPlanAPR/12),2)</f>
        <v>0.0</v>
      </c>
      <c r="Y22" s="12">
        <f>ROUND(IF($W$22&lt;=0,0,MIN(ClinicPaymentPlanMinPayment,$W$22+$X$22)),2)</f>
        <v>35.0</v>
      </c>
      <c r="Z22" s="12">
        <f>ROUND(IF($W$22&lt;=0,0,MIN(MAX(0,$W$22+$X$22-$Y$22),MAX(0,$AB$22-$F$22-$K$22-$P$22-$U$22))),2)</f>
        <v>0.0</v>
      </c>
      <c r="AA22" s="12">
        <f>ROUND(MAX(0,$W$22+$X$22-$Y$22-$Z$22),2)</f>
        <v>270.0</v>
      </c>
      <c r="AB22" s="12">
        <f>ROUND(ExtraPayment+IF($G$21&lt;=0,MastercardMinPayment,0)+IF($L$21&lt;=0,VisaCardMinPayment,0)+IF($Q$21&lt;=0,PersonalLoanMinPayment,0)+IF($V$21&lt;=0,AutoLoanMinPayment,0)+IF($AA$21&lt;=0,ClinicPaymentPlanMinPayment,0),2)</f>
        <v>300.0</v>
      </c>
      <c r="AC22" s="12">
        <f>ROUND(SUM($D$22,$I$22,$N$22,$S$22,$X$22),2)</f>
        <v>183.02</v>
      </c>
      <c r="AD22" s="12">
        <f>ROUND(SUM($G$22,$L$22,$Q$22,$V$22,$AA$22),2)</f>
        <v>16411.82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470.09</v>
      </c>
      <c r="D23" s="12">
        <f>ROUND(IF($C$23&lt;=0,0,$C$23*MastercardAPR/12),2)</f>
        <v>11.36</v>
      </c>
      <c r="E23" s="12">
        <f>ROUND(IF($C$23&lt;=0,0,MIN(MastercardMinPayment,$C$23+$D$23)),2)</f>
        <v>246.0</v>
      </c>
      <c r="F23" s="12">
        <f>ROUND(IF($C$23&lt;=0,0,MIN(MAX(0,$C$23+$D$23-$E$23),$AB$23)),2)</f>
        <v>235.45</v>
      </c>
      <c r="G23" s="12">
        <f>ROUND(MAX(0,$C$23+$D$23-$E$23-$F$23),2)</f>
        <v>0.0</v>
      </c>
      <c r="H23" s="12">
        <f>$L$22</f>
        <v>3090.11</v>
      </c>
      <c r="I23" s="12">
        <f>ROUND(IF($H$23&lt;=0,0,$H$23*VisaCardAPR/12),2)</f>
        <v>56.63</v>
      </c>
      <c r="J23" s="12">
        <f>ROUND(IF($H$23&lt;=0,0,MIN(VisaCardMinPayment,$H$23+$I$23)),2)</f>
        <v>123.0</v>
      </c>
      <c r="K23" s="12">
        <f>ROUND(IF($H$23&lt;=0,0,MIN(MAX(0,$H$23+$I$23-$J$23),MAX(0,$AB$23-$F$23))),2)</f>
        <v>64.55</v>
      </c>
      <c r="L23" s="12">
        <f>ROUND(MAX(0,$H$23+$I$23-$J$23-$K$23),2)</f>
        <v>2959.19</v>
      </c>
      <c r="M23" s="12">
        <f>$Q$22</f>
        <v>4904.82</v>
      </c>
      <c r="N23" s="12">
        <f>ROUND(IF($M$23&lt;=0,0,$M$23*PersonalLoanAPR/12),2)</f>
        <v>56.81</v>
      </c>
      <c r="O23" s="12">
        <f>ROUND(IF($M$23&lt;=0,0,MIN(PersonalLoanMinPayment,$M$23+$N$23)),2)</f>
        <v>205.0</v>
      </c>
      <c r="P23" s="12">
        <f>ROUND(IF($M$23&lt;=0,0,MIN(MAX(0,$M$23+$N$23-$O$23),MAX(0,$AB$23-$F$23-$K$23))),2)</f>
        <v>0.0</v>
      </c>
      <c r="Q23" s="12">
        <f>ROUND(MAX(0,$M$23+$N$23-$O$23-$P$23),2)</f>
        <v>4756.63</v>
      </c>
      <c r="R23" s="12">
        <f>$V$22</f>
        <v>7676.8</v>
      </c>
      <c r="S23" s="12">
        <f>ROUND(IF($R$23&lt;=0,0,$R$23*AutoLoanAPR/12),2)</f>
        <v>41.52</v>
      </c>
      <c r="T23" s="12">
        <f>ROUND(IF($R$23&lt;=0,0,MIN(AutoLoanMinPayment,$R$23+$S$23)),2)</f>
        <v>265.0</v>
      </c>
      <c r="U23" s="12">
        <f>ROUND(IF($R$23&lt;=0,0,MIN(MAX(0,$R$23+$S$23-$T$23),MAX(0,$AB$23-$F$23-$K$23-$P$23))),2)</f>
        <v>0.0</v>
      </c>
      <c r="V23" s="12">
        <f>ROUND(MAX(0,$R$23+$S$23-$T$23-$U$23),2)</f>
        <v>7453.32</v>
      </c>
      <c r="W23" s="12">
        <f>$AA$22</f>
        <v>270.0</v>
      </c>
      <c r="X23" s="12">
        <f>ROUND(IF($W$23&lt;=0,0,$W$23*ClinicPaymentPlanAPR/12),2)</f>
        <v>0.0</v>
      </c>
      <c r="Y23" s="12">
        <f>ROUND(IF($W$23&lt;=0,0,MIN(ClinicPaymentPlanMinPayment,$W$23+$X$23)),2)</f>
        <v>35.0</v>
      </c>
      <c r="Z23" s="12">
        <f>ROUND(IF($W$23&lt;=0,0,MIN(MAX(0,$W$23+$X$23-$Y$23),MAX(0,$AB$23-$F$23-$K$23-$P$23-$U$23))),2)</f>
        <v>0.0</v>
      </c>
      <c r="AA23" s="12">
        <f>ROUND(MAX(0,$W$23+$X$23-$Y$23-$Z$23),2)</f>
        <v>235.0</v>
      </c>
      <c r="AB23" s="12">
        <f>ROUND(ExtraPayment+IF($G$22&lt;=0,MastercardMinPayment,0)+IF($L$22&lt;=0,VisaCardMinPayment,0)+IF($Q$22&lt;=0,PersonalLoanMinPayment,0)+IF($V$22&lt;=0,AutoLoanMinPayment,0)+IF($AA$22&lt;=0,ClinicPaymentPlanMinPayment,0),2)</f>
        <v>300.0</v>
      </c>
      <c r="AC23" s="12">
        <f>ROUND(SUM($D$23,$I$23,$N$23,$S$23,$X$23),2)</f>
        <v>166.32</v>
      </c>
      <c r="AD23" s="12">
        <f>ROUND(SUM($G$23,$L$23,$Q$23,$V$23,$AA$23),2)</f>
        <v>15404.14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ROUND(IF($C$24&lt;=0,0,$C$24*MastercardAPR/12),2)</f>
        <v>0.0</v>
      </c>
      <c r="E24" s="12">
        <f>ROUND(IF($C$24&lt;=0,0,MIN(MastercardMinPayment,$C$24+$D$24)),2)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2959.19</v>
      </c>
      <c r="I24" s="12">
        <f>ROUND(IF($H$24&lt;=0,0,$H$24*VisaCardAPR/12),2)</f>
        <v>54.23</v>
      </c>
      <c r="J24" s="12">
        <f>ROUND(IF($H$24&lt;=0,0,MIN(VisaCardMinPayment,$H$24+$I$24)),2)</f>
        <v>123.0</v>
      </c>
      <c r="K24" s="12">
        <f>ROUND(IF($H$24&lt;=0,0,MIN(MAX(0,$H$24+$I$24-$J$24),MAX(0,$AB$24-$F$24))),2)</f>
        <v>546.0</v>
      </c>
      <c r="L24" s="12">
        <f>ROUND(MAX(0,$H$24+$I$24-$J$24-$K$24),2)</f>
        <v>2344.42</v>
      </c>
      <c r="M24" s="12">
        <f>$Q$23</f>
        <v>4756.63</v>
      </c>
      <c r="N24" s="12">
        <f>ROUND(IF($M$24&lt;=0,0,$M$24*PersonalLoanAPR/12),2)</f>
        <v>55.1</v>
      </c>
      <c r="O24" s="12">
        <f>ROUND(IF($M$24&lt;=0,0,MIN(PersonalLoanMinPayment,$M$24+$N$24)),2)</f>
        <v>205.0</v>
      </c>
      <c r="P24" s="12">
        <f>ROUND(IF($M$24&lt;=0,0,MIN(MAX(0,$M$24+$N$24-$O$24),MAX(0,$AB$24-$F$24-$K$24))),2)</f>
        <v>0.0</v>
      </c>
      <c r="Q24" s="12">
        <f>ROUND(MAX(0,$M$24+$N$24-$O$24-$P$24),2)</f>
        <v>4606.73</v>
      </c>
      <c r="R24" s="12">
        <f>$V$23</f>
        <v>7453.32</v>
      </c>
      <c r="S24" s="12">
        <f>ROUND(IF($R$24&lt;=0,0,$R$24*AutoLoanAPR/12),2)</f>
        <v>40.31</v>
      </c>
      <c r="T24" s="12">
        <f>ROUND(IF($R$24&lt;=0,0,MIN(AutoLoanMinPayment,$R$24+$S$24)),2)</f>
        <v>265.0</v>
      </c>
      <c r="U24" s="12">
        <f>ROUND(IF($R$24&lt;=0,0,MIN(MAX(0,$R$24+$S$24-$T$24),MAX(0,$AB$24-$F$24-$K$24-$P$24))),2)</f>
        <v>0.0</v>
      </c>
      <c r="V24" s="12">
        <f>ROUND(MAX(0,$R$24+$S$24-$T$24-$U$24),2)</f>
        <v>7228.63</v>
      </c>
      <c r="W24" s="12">
        <f>$AA$23</f>
        <v>235.0</v>
      </c>
      <c r="X24" s="12">
        <f>ROUND(IF($W$24&lt;=0,0,$W$24*ClinicPaymentPlanAPR/12),2)</f>
        <v>0.0</v>
      </c>
      <c r="Y24" s="12">
        <f>ROUND(IF($W$24&lt;=0,0,MIN(ClinicPaymentPlanMinPayment,$W$24+$X$24)),2)</f>
        <v>35.0</v>
      </c>
      <c r="Z24" s="12">
        <f>ROUND(IF($W$24&lt;=0,0,MIN(MAX(0,$W$24+$X$24-$Y$24),MAX(0,$AB$24-$F$24-$K$24-$P$24-$U$24))),2)</f>
        <v>0.0</v>
      </c>
      <c r="AA24" s="12">
        <f>ROUND(MAX(0,$W$24+$X$24-$Y$24-$Z$24),2)</f>
        <v>200.0</v>
      </c>
      <c r="AB24" s="12">
        <f>ROUND(ExtraPayment+IF($G$23&lt;=0,MastercardMinPayment,0)+IF($L$23&lt;=0,VisaCardMinPayment,0)+IF($Q$23&lt;=0,PersonalLoanMinPayment,0)+IF($V$23&lt;=0,AutoLoanMinPayment,0)+IF($AA$23&lt;=0,ClinicPaymentPlanMinPayment,0),2)</f>
        <v>546.0</v>
      </c>
      <c r="AC24" s="12">
        <f>ROUND(SUM($D$24,$I$24,$N$24,$S$24,$X$24),2)</f>
        <v>149.64</v>
      </c>
      <c r="AD24" s="12">
        <f>ROUND(SUM($G$24,$L$24,$Q$24,$V$24,$AA$24),2)</f>
        <v>14379.78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ROUND(IF($C$25&lt;=0,0,$C$25*MastercardAPR/12),2)</f>
        <v>0.0</v>
      </c>
      <c r="E25" s="12">
        <f>ROUND(IF($C$25&lt;=0,0,MIN(MastercardMinPayment,$C$25+$D$25)),2)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2344.42</v>
      </c>
      <c r="I25" s="12">
        <f>ROUND(IF($H$25&lt;=0,0,$H$25*VisaCardAPR/12),2)</f>
        <v>42.96</v>
      </c>
      <c r="J25" s="12">
        <f>ROUND(IF($H$25&lt;=0,0,MIN(VisaCardMinPayment,$H$25+$I$25)),2)</f>
        <v>123.0</v>
      </c>
      <c r="K25" s="12">
        <f>ROUND(IF($H$25&lt;=0,0,MIN(MAX(0,$H$25+$I$25-$J$25),MAX(0,$AB$25-$F$25))),2)</f>
        <v>546.0</v>
      </c>
      <c r="L25" s="12">
        <f>ROUND(MAX(0,$H$25+$I$25-$J$25-$K$25),2)</f>
        <v>1718.38</v>
      </c>
      <c r="M25" s="12">
        <f>$Q$24</f>
        <v>4606.73</v>
      </c>
      <c r="N25" s="12">
        <f>ROUND(IF($M$25&lt;=0,0,$M$25*PersonalLoanAPR/12),2)</f>
        <v>53.36</v>
      </c>
      <c r="O25" s="12">
        <f>ROUND(IF($M$25&lt;=0,0,MIN(PersonalLoanMinPayment,$M$25+$N$25)),2)</f>
        <v>205.0</v>
      </c>
      <c r="P25" s="12">
        <f>ROUND(IF($M$25&lt;=0,0,MIN(MAX(0,$M$25+$N$25-$O$25),MAX(0,$AB$25-$F$25-$K$25))),2)</f>
        <v>0.0</v>
      </c>
      <c r="Q25" s="12">
        <f>ROUND(MAX(0,$M$25+$N$25-$O$25-$P$25),2)</f>
        <v>4455.09</v>
      </c>
      <c r="R25" s="12">
        <f>$V$24</f>
        <v>7228.63</v>
      </c>
      <c r="S25" s="12">
        <f>ROUND(IF($R$25&lt;=0,0,$R$25*AutoLoanAPR/12),2)</f>
        <v>39.09</v>
      </c>
      <c r="T25" s="12">
        <f>ROUND(IF($R$25&lt;=0,0,MIN(AutoLoanMinPayment,$R$25+$S$25)),2)</f>
        <v>265.0</v>
      </c>
      <c r="U25" s="12">
        <f>ROUND(IF($R$25&lt;=0,0,MIN(MAX(0,$R$25+$S$25-$T$25),MAX(0,$AB$25-$F$25-$K$25-$P$25))),2)</f>
        <v>0.0</v>
      </c>
      <c r="V25" s="12">
        <f>ROUND(MAX(0,$R$25+$S$25-$T$25-$U$25),2)</f>
        <v>7002.72</v>
      </c>
      <c r="W25" s="12">
        <f>$AA$24</f>
        <v>200.0</v>
      </c>
      <c r="X25" s="12">
        <f>ROUND(IF($W$25&lt;=0,0,$W$25*ClinicPaymentPlanAPR/12),2)</f>
        <v>0.0</v>
      </c>
      <c r="Y25" s="12">
        <f>ROUND(IF($W$25&lt;=0,0,MIN(ClinicPaymentPlanMinPayment,$W$25+$X$25)),2)</f>
        <v>35.0</v>
      </c>
      <c r="Z25" s="12">
        <f>ROUND(IF($W$25&lt;=0,0,MIN(MAX(0,$W$25+$X$25-$Y$25),MAX(0,$AB$25-$F$25-$K$25-$P$25-$U$25))),2)</f>
        <v>0.0</v>
      </c>
      <c r="AA25" s="12">
        <f>ROUND(MAX(0,$W$25+$X$25-$Y$25-$Z$25),2)</f>
        <v>165.0</v>
      </c>
      <c r="AB25" s="12">
        <f>ROUND(ExtraPayment+IF($G$24&lt;=0,MastercardMinPayment,0)+IF($L$24&lt;=0,VisaCardMinPayment,0)+IF($Q$24&lt;=0,PersonalLoanMinPayment,0)+IF($V$24&lt;=0,AutoLoanMinPayment,0)+IF($AA$24&lt;=0,ClinicPaymentPlanMinPayment,0),2)</f>
        <v>546.0</v>
      </c>
      <c r="AC25" s="12">
        <f>ROUND(SUM($D$25,$I$25,$N$25,$S$25,$X$25),2)</f>
        <v>135.41</v>
      </c>
      <c r="AD25" s="12">
        <f>ROUND(SUM($G$25,$L$25,$Q$25,$V$25,$AA$25),2)</f>
        <v>13341.19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ROUND(IF($C$26&lt;=0,0,$C$26*MastercardAPR/12),2)</f>
        <v>0.0</v>
      </c>
      <c r="E26" s="12">
        <f>ROUND(IF($C$26&lt;=0,0,MIN(MastercardMinPayment,$C$26+$D$26)),2)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1718.38</v>
      </c>
      <c r="I26" s="12">
        <f>ROUND(IF($H$26&lt;=0,0,$H$26*VisaCardAPR/12),2)</f>
        <v>31.49</v>
      </c>
      <c r="J26" s="12">
        <f>ROUND(IF($H$26&lt;=0,0,MIN(VisaCardMinPayment,$H$26+$I$26)),2)</f>
        <v>123.0</v>
      </c>
      <c r="K26" s="12">
        <f>ROUND(IF($H$26&lt;=0,0,MIN(MAX(0,$H$26+$I$26-$J$26),MAX(0,$AB$26-$F$26))),2)</f>
        <v>546.0</v>
      </c>
      <c r="L26" s="12">
        <f>ROUND(MAX(0,$H$26+$I$26-$J$26-$K$26),2)</f>
        <v>1080.87</v>
      </c>
      <c r="M26" s="12">
        <f>$Q$25</f>
        <v>4455.09</v>
      </c>
      <c r="N26" s="12">
        <f>ROUND(IF($M$26&lt;=0,0,$M$26*PersonalLoanAPR/12),2)</f>
        <v>51.6</v>
      </c>
      <c r="O26" s="12">
        <f>ROUND(IF($M$26&lt;=0,0,MIN(PersonalLoanMinPayment,$M$26+$N$26)),2)</f>
        <v>205.0</v>
      </c>
      <c r="P26" s="12">
        <f>ROUND(IF($M$26&lt;=0,0,MIN(MAX(0,$M$26+$N$26-$O$26),MAX(0,$AB$26-$F$26-$K$26))),2)</f>
        <v>0.0</v>
      </c>
      <c r="Q26" s="12">
        <f>ROUND(MAX(0,$M$26+$N$26-$O$26-$P$26),2)</f>
        <v>4301.69</v>
      </c>
      <c r="R26" s="12">
        <f>$V$25</f>
        <v>7002.72</v>
      </c>
      <c r="S26" s="12">
        <f>ROUND(IF($R$26&lt;=0,0,$R$26*AutoLoanAPR/12),2)</f>
        <v>37.87</v>
      </c>
      <c r="T26" s="12">
        <f>ROUND(IF($R$26&lt;=0,0,MIN(AutoLoanMinPayment,$R$26+$S$26)),2)</f>
        <v>265.0</v>
      </c>
      <c r="U26" s="12">
        <f>ROUND(IF($R$26&lt;=0,0,MIN(MAX(0,$R$26+$S$26-$T$26),MAX(0,$AB$26-$F$26-$K$26-$P$26))),2)</f>
        <v>0.0</v>
      </c>
      <c r="V26" s="12">
        <f>ROUND(MAX(0,$R$26+$S$26-$T$26-$U$26),2)</f>
        <v>6775.59</v>
      </c>
      <c r="W26" s="12">
        <f>$AA$25</f>
        <v>165.0</v>
      </c>
      <c r="X26" s="12">
        <f>ROUND(IF($W$26&lt;=0,0,$W$26*ClinicPaymentPlanAPR/12),2)</f>
        <v>0.0</v>
      </c>
      <c r="Y26" s="12">
        <f>ROUND(IF($W$26&lt;=0,0,MIN(ClinicPaymentPlanMinPayment,$W$26+$X$26)),2)</f>
        <v>35.0</v>
      </c>
      <c r="Z26" s="12">
        <f>ROUND(IF($W$26&lt;=0,0,MIN(MAX(0,$W$26+$X$26-$Y$26),MAX(0,$AB$26-$F$26-$K$26-$P$26-$U$26))),2)</f>
        <v>0.0</v>
      </c>
      <c r="AA26" s="12">
        <f>ROUND(MAX(0,$W$26+$X$26-$Y$26-$Z$26),2)</f>
        <v>130.0</v>
      </c>
      <c r="AB26" s="12">
        <f>ROUND(ExtraPayment+IF($G$25&lt;=0,MastercardMinPayment,0)+IF($L$25&lt;=0,VisaCardMinPayment,0)+IF($Q$25&lt;=0,PersonalLoanMinPayment,0)+IF($V$25&lt;=0,AutoLoanMinPayment,0)+IF($AA$25&lt;=0,ClinicPaymentPlanMinPayment,0),2)</f>
        <v>546.0</v>
      </c>
      <c r="AC26" s="12">
        <f>ROUND(SUM($D$26,$I$26,$N$26,$S$26,$X$26),2)</f>
        <v>120.96</v>
      </c>
      <c r="AD26" s="12">
        <f>ROUND(SUM($G$26,$L$26,$Q$26,$V$26,$AA$26),2)</f>
        <v>12288.15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ROUND(IF($C$27&lt;=0,0,$C$27*MastercardAPR/12),2)</f>
        <v>0.0</v>
      </c>
      <c r="E27" s="12">
        <f>ROUND(IF($C$27&lt;=0,0,MIN(MastercardMinPayment,$C$27+$D$27)),2)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1080.87</v>
      </c>
      <c r="I27" s="12">
        <f>ROUND(IF($H$27&lt;=0,0,$H$27*VisaCardAPR/12),2)</f>
        <v>19.81</v>
      </c>
      <c r="J27" s="12">
        <f>ROUND(IF($H$27&lt;=0,0,MIN(VisaCardMinPayment,$H$27+$I$27)),2)</f>
        <v>123.0</v>
      </c>
      <c r="K27" s="12">
        <f>ROUND(IF($H$27&lt;=0,0,MIN(MAX(0,$H$27+$I$27-$J$27),MAX(0,$AB$27-$F$27))),2)</f>
        <v>546.0</v>
      </c>
      <c r="L27" s="12">
        <f>ROUND(MAX(0,$H$27+$I$27-$J$27-$K$27),2)</f>
        <v>431.68</v>
      </c>
      <c r="M27" s="12">
        <f>$Q$26</f>
        <v>4301.69</v>
      </c>
      <c r="N27" s="12">
        <f>ROUND(IF($M$27&lt;=0,0,$M$27*PersonalLoanAPR/12),2)</f>
        <v>49.83</v>
      </c>
      <c r="O27" s="12">
        <f>ROUND(IF($M$27&lt;=0,0,MIN(PersonalLoanMinPayment,$M$27+$N$27)),2)</f>
        <v>205.0</v>
      </c>
      <c r="P27" s="12">
        <f>ROUND(IF($M$27&lt;=0,0,MIN(MAX(0,$M$27+$N$27-$O$27),MAX(0,$AB$27-$F$27-$K$27))),2)</f>
        <v>0.0</v>
      </c>
      <c r="Q27" s="12">
        <f>ROUND(MAX(0,$M$27+$N$27-$O$27-$P$27),2)</f>
        <v>4146.52</v>
      </c>
      <c r="R27" s="12">
        <f>$V$26</f>
        <v>6775.59</v>
      </c>
      <c r="S27" s="12">
        <f>ROUND(IF($R$27&lt;=0,0,$R$27*AutoLoanAPR/12),2)</f>
        <v>36.64</v>
      </c>
      <c r="T27" s="12">
        <f>ROUND(IF($R$27&lt;=0,0,MIN(AutoLoanMinPayment,$R$27+$S$27)),2)</f>
        <v>265.0</v>
      </c>
      <c r="U27" s="12">
        <f>ROUND(IF($R$27&lt;=0,0,MIN(MAX(0,$R$27+$S$27-$T$27),MAX(0,$AB$27-$F$27-$K$27-$P$27))),2)</f>
        <v>0.0</v>
      </c>
      <c r="V27" s="12">
        <f>ROUND(MAX(0,$R$27+$S$27-$T$27-$U$27),2)</f>
        <v>6547.23</v>
      </c>
      <c r="W27" s="12">
        <f>$AA$26</f>
        <v>130.0</v>
      </c>
      <c r="X27" s="12">
        <f>ROUND(IF($W$27&lt;=0,0,$W$27*ClinicPaymentPlanAPR/12),2)</f>
        <v>0.0</v>
      </c>
      <c r="Y27" s="12">
        <f>ROUND(IF($W$27&lt;=0,0,MIN(ClinicPaymentPlanMinPayment,$W$27+$X$27)),2)</f>
        <v>35.0</v>
      </c>
      <c r="Z27" s="12">
        <f>ROUND(IF($W$27&lt;=0,0,MIN(MAX(0,$W$27+$X$27-$Y$27),MAX(0,$AB$27-$F$27-$K$27-$P$27-$U$27))),2)</f>
        <v>0.0</v>
      </c>
      <c r="AA27" s="12">
        <f>ROUND(MAX(0,$W$27+$X$27-$Y$27-$Z$27),2)</f>
        <v>95.0</v>
      </c>
      <c r="AB27" s="12">
        <f>ROUND(ExtraPayment+IF($G$26&lt;=0,MastercardMinPayment,0)+IF($L$26&lt;=0,VisaCardMinPayment,0)+IF($Q$26&lt;=0,PersonalLoanMinPayment,0)+IF($V$26&lt;=0,AutoLoanMinPayment,0)+IF($AA$26&lt;=0,ClinicPaymentPlanMinPayment,0),2)</f>
        <v>546.0</v>
      </c>
      <c r="AC27" s="12">
        <f>ROUND(SUM($D$27,$I$27,$N$27,$S$27,$X$27),2)</f>
        <v>106.28</v>
      </c>
      <c r="AD27" s="12">
        <f>ROUND(SUM($G$27,$L$27,$Q$27,$V$27,$AA$27),2)</f>
        <v>11220.43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ROUND(IF($C$28&lt;=0,0,$C$28*MastercardAPR/12),2)</f>
        <v>0.0</v>
      </c>
      <c r="E28" s="12">
        <f>ROUND(IF($C$28&lt;=0,0,MIN(MastercardMinPayment,$C$28+$D$28)),2)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431.68</v>
      </c>
      <c r="I28" s="12">
        <f>ROUND(IF($H$28&lt;=0,0,$H$28*VisaCardAPR/12),2)</f>
        <v>7.91</v>
      </c>
      <c r="J28" s="12">
        <f>ROUND(IF($H$28&lt;=0,0,MIN(VisaCardMinPayment,$H$28+$I$28)),2)</f>
        <v>123.0</v>
      </c>
      <c r="K28" s="12">
        <f>ROUND(IF($H$28&lt;=0,0,MIN(MAX(0,$H$28+$I$28-$J$28),MAX(0,$AB$28-$F$28))),2)</f>
        <v>316.59</v>
      </c>
      <c r="L28" s="12">
        <f>ROUND(MAX(0,$H$28+$I$28-$J$28-$K$28),2)</f>
        <v>0.0</v>
      </c>
      <c r="M28" s="12">
        <f>$Q$27</f>
        <v>4146.52</v>
      </c>
      <c r="N28" s="12">
        <f>ROUND(IF($M$28&lt;=0,0,$M$28*PersonalLoanAPR/12),2)</f>
        <v>48.03</v>
      </c>
      <c r="O28" s="12">
        <f>ROUND(IF($M$28&lt;=0,0,MIN(PersonalLoanMinPayment,$M$28+$N$28)),2)</f>
        <v>205.0</v>
      </c>
      <c r="P28" s="12">
        <f>ROUND(IF($M$28&lt;=0,0,MIN(MAX(0,$M$28+$N$28-$O$28),MAX(0,$AB$28-$F$28-$K$28))),2)</f>
        <v>229.41</v>
      </c>
      <c r="Q28" s="12">
        <f>ROUND(MAX(0,$M$28+$N$28-$O$28-$P$28),2)</f>
        <v>3760.14</v>
      </c>
      <c r="R28" s="12">
        <f>$V$27</f>
        <v>6547.23</v>
      </c>
      <c r="S28" s="12">
        <f>ROUND(IF($R$28&lt;=0,0,$R$28*AutoLoanAPR/12),2)</f>
        <v>35.41</v>
      </c>
      <c r="T28" s="12">
        <f>ROUND(IF($R$28&lt;=0,0,MIN(AutoLoanMinPayment,$R$28+$S$28)),2)</f>
        <v>265.0</v>
      </c>
      <c r="U28" s="12">
        <f>ROUND(IF($R$28&lt;=0,0,MIN(MAX(0,$R$28+$S$28-$T$28),MAX(0,$AB$28-$F$28-$K$28-$P$28))),2)</f>
        <v>0.0</v>
      </c>
      <c r="V28" s="12">
        <f>ROUND(MAX(0,$R$28+$S$28-$T$28-$U$28),2)</f>
        <v>6317.64</v>
      </c>
      <c r="W28" s="12">
        <f>$AA$27</f>
        <v>95.0</v>
      </c>
      <c r="X28" s="12">
        <f>ROUND(IF($W$28&lt;=0,0,$W$28*ClinicPaymentPlanAPR/12),2)</f>
        <v>0.0</v>
      </c>
      <c r="Y28" s="12">
        <f>ROUND(IF($W$28&lt;=0,0,MIN(ClinicPaymentPlanMinPayment,$W$28+$X$28)),2)</f>
        <v>35.0</v>
      </c>
      <c r="Z28" s="12">
        <f>ROUND(IF($W$28&lt;=0,0,MIN(MAX(0,$W$28+$X$28-$Y$28),MAX(0,$AB$28-$F$28-$K$28-$P$28-$U$28))),2)</f>
        <v>0.0</v>
      </c>
      <c r="AA28" s="12">
        <f>ROUND(MAX(0,$W$28+$X$28-$Y$28-$Z$28),2)</f>
        <v>60.0</v>
      </c>
      <c r="AB28" s="12">
        <f>ROUND(ExtraPayment+IF($G$27&lt;=0,MastercardMinPayment,0)+IF($L$27&lt;=0,VisaCardMinPayment,0)+IF($Q$27&lt;=0,PersonalLoanMinPayment,0)+IF($V$27&lt;=0,AutoLoanMinPayment,0)+IF($AA$27&lt;=0,ClinicPaymentPlanMinPayment,0),2)</f>
        <v>546.0</v>
      </c>
      <c r="AC28" s="12">
        <f>ROUND(SUM($D$28,$I$28,$N$28,$S$28,$X$28),2)</f>
        <v>91.35</v>
      </c>
      <c r="AD28" s="12">
        <f>ROUND(SUM($G$28,$L$28,$Q$28,$V$28,$AA$28),2)</f>
        <v>10137.78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ROUND(IF($C$29&lt;=0,0,$C$29*MastercardAPR/12),2)</f>
        <v>0.0</v>
      </c>
      <c r="E29" s="12">
        <f>ROUND(IF($C$29&lt;=0,0,MIN(MastercardMinPayment,$C$29+$D$29)),2)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ROUND(IF($H$29&lt;=0,0,$H$29*VisaCardAPR/12),2)</f>
        <v>0.0</v>
      </c>
      <c r="J29" s="12">
        <f>ROUND(IF($H$29&lt;=0,0,MIN(VisaCardMinPayment,$H$29+$I$29)),2)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3760.14</v>
      </c>
      <c r="N29" s="12">
        <f>ROUND(IF($M$29&lt;=0,0,$M$29*PersonalLoanAPR/12),2)</f>
        <v>43.55</v>
      </c>
      <c r="O29" s="12">
        <f>ROUND(IF($M$29&lt;=0,0,MIN(PersonalLoanMinPayment,$M$29+$N$29)),2)</f>
        <v>205.0</v>
      </c>
      <c r="P29" s="12">
        <f>ROUND(IF($M$29&lt;=0,0,MIN(MAX(0,$M$29+$N$29-$O$29),MAX(0,$AB$29-$F$29-$K$29))),2)</f>
        <v>669.0</v>
      </c>
      <c r="Q29" s="12">
        <f>ROUND(MAX(0,$M$29+$N$29-$O$29-$P$29),2)</f>
        <v>2929.69</v>
      </c>
      <c r="R29" s="12">
        <f>$V$28</f>
        <v>6317.64</v>
      </c>
      <c r="S29" s="12">
        <f>ROUND(IF($R$29&lt;=0,0,$R$29*AutoLoanAPR/12),2)</f>
        <v>34.17</v>
      </c>
      <c r="T29" s="12">
        <f>ROUND(IF($R$29&lt;=0,0,MIN(AutoLoanMinPayment,$R$29+$S$29)),2)</f>
        <v>265.0</v>
      </c>
      <c r="U29" s="12">
        <f>ROUND(IF($R$29&lt;=0,0,MIN(MAX(0,$R$29+$S$29-$T$29),MAX(0,$AB$29-$F$29-$K$29-$P$29))),2)</f>
        <v>0.0</v>
      </c>
      <c r="V29" s="12">
        <f>ROUND(MAX(0,$R$29+$S$29-$T$29-$U$29),2)</f>
        <v>6086.81</v>
      </c>
      <c r="W29" s="12">
        <f>$AA$28</f>
        <v>60.0</v>
      </c>
      <c r="X29" s="12">
        <f>ROUND(IF($W$29&lt;=0,0,$W$29*ClinicPaymentPlanAPR/12),2)</f>
        <v>0.0</v>
      </c>
      <c r="Y29" s="12">
        <f>ROUND(IF($W$29&lt;=0,0,MIN(ClinicPaymentPlanMinPayment,$W$29+$X$29)),2)</f>
        <v>35.0</v>
      </c>
      <c r="Z29" s="12">
        <f>ROUND(IF($W$29&lt;=0,0,MIN(MAX(0,$W$29+$X$29-$Y$29),MAX(0,$AB$29-$F$29-$K$29-$P$29-$U$29))),2)</f>
        <v>0.0</v>
      </c>
      <c r="AA29" s="12">
        <f>ROUND(MAX(0,$W$29+$X$29-$Y$29-$Z$29),2)</f>
        <v>25.0</v>
      </c>
      <c r="AB29" s="12">
        <f>ROUND(ExtraPayment+IF($G$28&lt;=0,MastercardMinPayment,0)+IF($L$28&lt;=0,VisaCardMinPayment,0)+IF($Q$28&lt;=0,PersonalLoanMinPayment,0)+IF($V$28&lt;=0,AutoLoanMinPayment,0)+IF($AA$28&lt;=0,ClinicPaymentPlanMinPayment,0),2)</f>
        <v>669.0</v>
      </c>
      <c r="AC29" s="12">
        <f>ROUND(SUM($D$29,$I$29,$N$29,$S$29,$X$29),2)</f>
        <v>77.72</v>
      </c>
      <c r="AD29" s="12">
        <f>ROUND(SUM($G$29,$L$29,$Q$29,$V$29,$AA$29),2)</f>
        <v>9041.5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ROUND(IF($C$30&lt;=0,0,$C$30*MastercardAPR/12),2)</f>
        <v>0.0</v>
      </c>
      <c r="E30" s="12">
        <f>ROUND(IF($C$30&lt;=0,0,MIN(MastercardMinPayment,$C$30+$D$30)),2)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ROUND(IF($H$30&lt;=0,0,$H$30*VisaCardAPR/12),2)</f>
        <v>0.0</v>
      </c>
      <c r="J30" s="12">
        <f>ROUND(IF($H$30&lt;=0,0,MIN(VisaCardMinPayment,$H$30+$I$30)),2)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2929.69</v>
      </c>
      <c r="N30" s="12">
        <f>ROUND(IF($M$30&lt;=0,0,$M$30*PersonalLoanAPR/12),2)</f>
        <v>33.94</v>
      </c>
      <c r="O30" s="12">
        <f>ROUND(IF($M$30&lt;=0,0,MIN(PersonalLoanMinPayment,$M$30+$N$30)),2)</f>
        <v>205.0</v>
      </c>
      <c r="P30" s="12">
        <f>ROUND(IF($M$30&lt;=0,0,MIN(MAX(0,$M$30+$N$30-$O$30),MAX(0,$AB$30-$F$30-$K$30))),2)</f>
        <v>669.0</v>
      </c>
      <c r="Q30" s="12">
        <f>ROUND(MAX(0,$M$30+$N$30-$O$30-$P$30),2)</f>
        <v>2089.63</v>
      </c>
      <c r="R30" s="12">
        <f>$V$29</f>
        <v>6086.81</v>
      </c>
      <c r="S30" s="12">
        <f>ROUND(IF($R$30&lt;=0,0,$R$30*AutoLoanAPR/12),2)</f>
        <v>32.92</v>
      </c>
      <c r="T30" s="12">
        <f>ROUND(IF($R$30&lt;=0,0,MIN(AutoLoanMinPayment,$R$30+$S$30)),2)</f>
        <v>265.0</v>
      </c>
      <c r="U30" s="12">
        <f>ROUND(IF($R$30&lt;=0,0,MIN(MAX(0,$R$30+$S$30-$T$30),MAX(0,$AB$30-$F$30-$K$30-$P$30))),2)</f>
        <v>0.0</v>
      </c>
      <c r="V30" s="12">
        <f>ROUND(MAX(0,$R$30+$S$30-$T$30-$U$30),2)</f>
        <v>5854.73</v>
      </c>
      <c r="W30" s="12">
        <f>$AA$29</f>
        <v>25.0</v>
      </c>
      <c r="X30" s="12">
        <f>ROUND(IF($W$30&lt;=0,0,$W$30*ClinicPaymentPlanAPR/12),2)</f>
        <v>0.0</v>
      </c>
      <c r="Y30" s="12">
        <f>ROUND(IF($W$30&lt;=0,0,MIN(ClinicPaymentPlanMinPayment,$W$30+$X$30)),2)</f>
        <v>25.0</v>
      </c>
      <c r="Z30" s="12">
        <f>ROUND(IF($W$30&lt;=0,0,MIN(MAX(0,$W$30+$X$30-$Y$30),MAX(0,$AB$30-$F$30-$K$30-$P$30-$U$30))),2)</f>
        <v>0.0</v>
      </c>
      <c r="AA30" s="12">
        <f>ROUND(MAX(0,$W$30+$X$30-$Y$30-$Z$30),2)</f>
        <v>0.0</v>
      </c>
      <c r="AB30" s="12">
        <f>ROUND(ExtraPayment+IF($G$29&lt;=0,MastercardMinPayment,0)+IF($L$29&lt;=0,VisaCardMinPayment,0)+IF($Q$29&lt;=0,PersonalLoanMinPayment,0)+IF($V$29&lt;=0,AutoLoanMinPayment,0)+IF($AA$29&lt;=0,ClinicPaymentPlanMinPayment,0),2)</f>
        <v>669.0</v>
      </c>
      <c r="AC30" s="12">
        <f>ROUND(SUM($D$30,$I$30,$N$30,$S$30,$X$30),2)</f>
        <v>66.86</v>
      </c>
      <c r="AD30" s="12">
        <f>ROUND(SUM($G$30,$L$30,$Q$30,$V$30,$AA$30),2)</f>
        <v>7944.36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ROUND(IF($C$31&lt;=0,0,$C$31*MastercardAPR/12),2)</f>
        <v>0.0</v>
      </c>
      <c r="E31" s="12">
        <f>ROUND(IF($C$31&lt;=0,0,MIN(MastercardMinPayment,$C$31+$D$31)),2)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ROUND(IF($H$31&lt;=0,0,$H$31*VisaCardAPR/12),2)</f>
        <v>0.0</v>
      </c>
      <c r="J31" s="12">
        <f>ROUND(IF($H$31&lt;=0,0,MIN(VisaCardMinPayment,$H$31+$I$31)),2)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2089.63</v>
      </c>
      <c r="N31" s="12">
        <f>ROUND(IF($M$31&lt;=0,0,$M$31*PersonalLoanAPR/12),2)</f>
        <v>24.2</v>
      </c>
      <c r="O31" s="12">
        <f>ROUND(IF($M$31&lt;=0,0,MIN(PersonalLoanMinPayment,$M$31+$N$31)),2)</f>
        <v>205.0</v>
      </c>
      <c r="P31" s="12">
        <f>ROUND(IF($M$31&lt;=0,0,MIN(MAX(0,$M$31+$N$31-$O$31),MAX(0,$AB$31-$F$31-$K$31))),2)</f>
        <v>704.0</v>
      </c>
      <c r="Q31" s="12">
        <f>ROUND(MAX(0,$M$31+$N$31-$O$31-$P$31),2)</f>
        <v>1204.83</v>
      </c>
      <c r="R31" s="12">
        <f>$V$30</f>
        <v>5854.73</v>
      </c>
      <c r="S31" s="12">
        <f>ROUND(IF($R$31&lt;=0,0,$R$31*AutoLoanAPR/12),2)</f>
        <v>31.66</v>
      </c>
      <c r="T31" s="12">
        <f>ROUND(IF($R$31&lt;=0,0,MIN(AutoLoanMinPayment,$R$31+$S$31)),2)</f>
        <v>265.0</v>
      </c>
      <c r="U31" s="12">
        <f>ROUND(IF($R$31&lt;=0,0,MIN(MAX(0,$R$31+$S$31-$T$31),MAX(0,$AB$31-$F$31-$K$31-$P$31))),2)</f>
        <v>0.0</v>
      </c>
      <c r="V31" s="12">
        <f>ROUND(MAX(0,$R$31+$S$31-$T$31-$U$31),2)</f>
        <v>5621.39</v>
      </c>
      <c r="W31" s="12">
        <f>$AA$30</f>
        <v>0.0</v>
      </c>
      <c r="X31" s="12">
        <f>ROUND(IF($W$31&lt;=0,0,$W$31*ClinicPaymentPlanAPR/12),2)</f>
        <v>0.0</v>
      </c>
      <c r="Y31" s="12">
        <f>ROUND(IF($W$31&lt;=0,0,MIN(ClinicPaymentPlanMinPayment,$W$31+$X$31)),2)</f>
        <v>0.0</v>
      </c>
      <c r="Z31" s="12">
        <f>ROUND(IF($W$31&lt;=0,0,MIN(MAX(0,$W$31+$X$31-$Y$31),MAX(0,$AB$31-$F$31-$K$31-$P$31-$U$31))),2)</f>
        <v>0.0</v>
      </c>
      <c r="AA31" s="12">
        <f>ROUND(MAX(0,$W$31+$X$31-$Y$31-$Z$31),2)</f>
        <v>0.0</v>
      </c>
      <c r="AB31" s="12">
        <f>ROUND(ExtraPayment+IF($G$30&lt;=0,MastercardMinPayment,0)+IF($L$30&lt;=0,VisaCardMinPayment,0)+IF($Q$30&lt;=0,PersonalLoanMinPayment,0)+IF($V$30&lt;=0,AutoLoanMinPayment,0)+IF($AA$30&lt;=0,ClinicPaymentPlanMinPayment,0),2)</f>
        <v>704.0</v>
      </c>
      <c r="AC31" s="12">
        <f>ROUND(SUM($D$31,$I$31,$N$31,$S$31,$X$31),2)</f>
        <v>55.86</v>
      </c>
      <c r="AD31" s="12">
        <f>ROUND(SUM($G$31,$L$31,$Q$31,$V$31,$AA$31),2)</f>
        <v>6826.22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ROUND(IF($C$32&lt;=0,0,$C$32*MastercardAPR/12),2)</f>
        <v>0.0</v>
      </c>
      <c r="E32" s="12">
        <f>ROUND(IF($C$32&lt;=0,0,MIN(MastercardMinPayment,$C$32+$D$32)),2)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ROUND(IF($H$32&lt;=0,0,$H$32*VisaCardAPR/12),2)</f>
        <v>0.0</v>
      </c>
      <c r="J32" s="12">
        <f>ROUND(IF($H$32&lt;=0,0,MIN(VisaCardMinPayment,$H$32+$I$32)),2)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1204.83</v>
      </c>
      <c r="N32" s="12">
        <f>ROUND(IF($M$32&lt;=0,0,$M$32*PersonalLoanAPR/12),2)</f>
        <v>13.96</v>
      </c>
      <c r="O32" s="12">
        <f>ROUND(IF($M$32&lt;=0,0,MIN(PersonalLoanMinPayment,$M$32+$N$32)),2)</f>
        <v>205.0</v>
      </c>
      <c r="P32" s="12">
        <f>ROUND(IF($M$32&lt;=0,0,MIN(MAX(0,$M$32+$N$32-$O$32),MAX(0,$AB$32-$F$32-$K$32))),2)</f>
        <v>704.0</v>
      </c>
      <c r="Q32" s="12">
        <f>ROUND(MAX(0,$M$32+$N$32-$O$32-$P$32),2)</f>
        <v>309.79</v>
      </c>
      <c r="R32" s="12">
        <f>$V$31</f>
        <v>5621.39</v>
      </c>
      <c r="S32" s="12">
        <f>ROUND(IF($R$32&lt;=0,0,$R$32*AutoLoanAPR/12),2)</f>
        <v>30.4</v>
      </c>
      <c r="T32" s="12">
        <f>ROUND(IF($R$32&lt;=0,0,MIN(AutoLoanMinPayment,$R$32+$S$32)),2)</f>
        <v>265.0</v>
      </c>
      <c r="U32" s="12">
        <f>ROUND(IF($R$32&lt;=0,0,MIN(MAX(0,$R$32+$S$32-$T$32),MAX(0,$AB$32-$F$32-$K$32-$P$32))),2)</f>
        <v>0.0</v>
      </c>
      <c r="V32" s="12">
        <f>ROUND(MAX(0,$R$32+$S$32-$T$32-$U$32),2)</f>
        <v>5386.79</v>
      </c>
      <c r="W32" s="12">
        <f>$AA$31</f>
        <v>0.0</v>
      </c>
      <c r="X32" s="12">
        <f>ROUND(IF($W$32&lt;=0,0,$W$32*ClinicPaymentPlanAPR/12),2)</f>
        <v>0.0</v>
      </c>
      <c r="Y32" s="12">
        <f>ROUND(IF($W$32&lt;=0,0,MIN(ClinicPaymentPlanMinPayment,$W$32+$X$32)),2)</f>
        <v>0.0</v>
      </c>
      <c r="Z32" s="12">
        <f>ROUND(IF($W$32&lt;=0,0,MIN(MAX(0,$W$32+$X$32-$Y$32),MAX(0,$AB$32-$F$32-$K$32-$P$32-$U$32))),2)</f>
        <v>0.0</v>
      </c>
      <c r="AA32" s="12">
        <f>ROUND(MAX(0,$W$32+$X$32-$Y$32-$Z$32),2)</f>
        <v>0.0</v>
      </c>
      <c r="AB32" s="12">
        <f>ROUND(ExtraPayment+IF($G$31&lt;=0,MastercardMinPayment,0)+IF($L$31&lt;=0,VisaCardMinPayment,0)+IF($Q$31&lt;=0,PersonalLoanMinPayment,0)+IF($V$31&lt;=0,AutoLoanMinPayment,0)+IF($AA$31&lt;=0,ClinicPaymentPlanMinPayment,0),2)</f>
        <v>704.0</v>
      </c>
      <c r="AC32" s="12">
        <f>ROUND(SUM($D$32,$I$32,$N$32,$S$32,$X$32),2)</f>
        <v>44.36</v>
      </c>
      <c r="AD32" s="12">
        <f>ROUND(SUM($G$32,$L$32,$Q$32,$V$32,$AA$32),2)</f>
        <v>5696.58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ROUND(IF($C$33&lt;=0,0,$C$33*MastercardAPR/12),2)</f>
        <v>0.0</v>
      </c>
      <c r="E33" s="12">
        <f>ROUND(IF($C$33&lt;=0,0,MIN(MastercardMinPayment,$C$33+$D$33)),2)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ROUND(IF($H$33&lt;=0,0,$H$33*VisaCardAPR/12),2)</f>
        <v>0.0</v>
      </c>
      <c r="J33" s="12">
        <f>ROUND(IF($H$33&lt;=0,0,MIN(VisaCardMinPayment,$H$33+$I$33)),2)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309.79</v>
      </c>
      <c r="N33" s="12">
        <f>ROUND(IF($M$33&lt;=0,0,$M$33*PersonalLoanAPR/12),2)</f>
        <v>3.59</v>
      </c>
      <c r="O33" s="12">
        <f>ROUND(IF($M$33&lt;=0,0,MIN(PersonalLoanMinPayment,$M$33+$N$33)),2)</f>
        <v>205.0</v>
      </c>
      <c r="P33" s="12">
        <f>ROUND(IF($M$33&lt;=0,0,MIN(MAX(0,$M$33+$N$33-$O$33),MAX(0,$AB$33-$F$33-$K$33))),2)</f>
        <v>108.38</v>
      </c>
      <c r="Q33" s="12">
        <f>ROUND(MAX(0,$M$33+$N$33-$O$33-$P$33),2)</f>
        <v>0.0</v>
      </c>
      <c r="R33" s="12">
        <f>$V$32</f>
        <v>5386.79</v>
      </c>
      <c r="S33" s="12">
        <f>ROUND(IF($R$33&lt;=0,0,$R$33*AutoLoanAPR/12),2)</f>
        <v>29.13</v>
      </c>
      <c r="T33" s="12">
        <f>ROUND(IF($R$33&lt;=0,0,MIN(AutoLoanMinPayment,$R$33+$S$33)),2)</f>
        <v>265.0</v>
      </c>
      <c r="U33" s="12">
        <f>ROUND(IF($R$33&lt;=0,0,MIN(MAX(0,$R$33+$S$33-$T$33),MAX(0,$AB$33-$F$33-$K$33-$P$33))),2)</f>
        <v>595.62</v>
      </c>
      <c r="V33" s="12">
        <f>ROUND(MAX(0,$R$33+$S$33-$T$33-$U$33),2)</f>
        <v>4555.3</v>
      </c>
      <c r="W33" s="12">
        <f>$AA$32</f>
        <v>0.0</v>
      </c>
      <c r="X33" s="12">
        <f>ROUND(IF($W$33&lt;=0,0,$W$33*ClinicPaymentPlanAPR/12),2)</f>
        <v>0.0</v>
      </c>
      <c r="Y33" s="12">
        <f>ROUND(IF($W$33&lt;=0,0,MIN(ClinicPaymentPlanMinPayment,$W$33+$X$33)),2)</f>
        <v>0.0</v>
      </c>
      <c r="Z33" s="12">
        <f>ROUND(IF($W$33&lt;=0,0,MIN(MAX(0,$W$33+$X$33-$Y$33),MAX(0,$AB$33-$F$33-$K$33-$P$33-$U$33))),2)</f>
        <v>0.0</v>
      </c>
      <c r="AA33" s="12">
        <f>ROUND(MAX(0,$W$33+$X$33-$Y$33-$Z$33),2)</f>
        <v>0.0</v>
      </c>
      <c r="AB33" s="12">
        <f>ROUND(ExtraPayment+IF($G$32&lt;=0,MastercardMinPayment,0)+IF($L$32&lt;=0,VisaCardMinPayment,0)+IF($Q$32&lt;=0,PersonalLoanMinPayment,0)+IF($V$32&lt;=0,AutoLoanMinPayment,0)+IF($AA$32&lt;=0,ClinicPaymentPlanMinPayment,0),2)</f>
        <v>704.0</v>
      </c>
      <c r="AC33" s="12">
        <f>ROUND(SUM($D$33,$I$33,$N$33,$S$33,$X$33),2)</f>
        <v>32.72</v>
      </c>
      <c r="AD33" s="12">
        <f>ROUND(SUM($G$33,$L$33,$Q$33,$V$33,$AA$33),2)</f>
        <v>4555.3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ROUND(IF($C$34&lt;=0,0,$C$34*MastercardAPR/12),2)</f>
        <v>0.0</v>
      </c>
      <c r="E34" s="12">
        <f>ROUND(IF($C$34&lt;=0,0,MIN(MastercardMinPayment,$C$34+$D$34)),2)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ROUND(IF($H$34&lt;=0,0,$H$34*VisaCardAPR/12),2)</f>
        <v>0.0</v>
      </c>
      <c r="J34" s="12">
        <f>ROUND(IF($H$34&lt;=0,0,MIN(VisaCardMinPayment,$H$34+$I$34)),2)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ROUND(IF($M$34&lt;=0,0,$M$34*PersonalLoanAPR/12),2)</f>
        <v>0.0</v>
      </c>
      <c r="O34" s="12">
        <f>ROUND(IF($M$34&lt;=0,0,MIN(PersonalLoanMinPayment,$M$34+$N$34)),2)</f>
        <v>0.0</v>
      </c>
      <c r="P34" s="12">
        <f>ROUND(IF($M$34&lt;=0,0,MIN(MAX(0,$M$34+$N$34-$O$34),MAX(0,$AB$34-$F$34-$K$34))),2)</f>
        <v>0.0</v>
      </c>
      <c r="Q34" s="12">
        <f>ROUND(MAX(0,$M$34+$N$34-$O$34-$P$34),2)</f>
        <v>0.0</v>
      </c>
      <c r="R34" s="12">
        <f>$V$33</f>
        <v>4555.3</v>
      </c>
      <c r="S34" s="12">
        <f>ROUND(IF($R$34&lt;=0,0,$R$34*AutoLoanAPR/12),2)</f>
        <v>24.64</v>
      </c>
      <c r="T34" s="12">
        <f>ROUND(IF($R$34&lt;=0,0,MIN(AutoLoanMinPayment,$R$34+$S$34)),2)</f>
        <v>265.0</v>
      </c>
      <c r="U34" s="12">
        <f>ROUND(IF($R$34&lt;=0,0,MIN(MAX(0,$R$34+$S$34-$T$34),MAX(0,$AB$34-$F$34-$K$34-$P$34))),2)</f>
        <v>909.0</v>
      </c>
      <c r="V34" s="12">
        <f>ROUND(MAX(0,$R$34+$S$34-$T$34-$U$34),2)</f>
        <v>3405.94</v>
      </c>
      <c r="W34" s="12">
        <f>$AA$33</f>
        <v>0.0</v>
      </c>
      <c r="X34" s="12">
        <f>ROUND(IF($W$34&lt;=0,0,$W$34*ClinicPaymentPlanAPR/12),2)</f>
        <v>0.0</v>
      </c>
      <c r="Y34" s="12">
        <f>ROUND(IF($W$34&lt;=0,0,MIN(ClinicPaymentPlanMinPayment,$W$34+$X$34)),2)</f>
        <v>0.0</v>
      </c>
      <c r="Z34" s="12">
        <f>ROUND(IF($W$34&lt;=0,0,MIN(MAX(0,$W$34+$X$34-$Y$34),MAX(0,$AB$34-$F$34-$K$34-$P$34-$U$34))),2)</f>
        <v>0.0</v>
      </c>
      <c r="AA34" s="12">
        <f>ROUND(MAX(0,$W$34+$X$34-$Y$34-$Z$34),2)</f>
        <v>0.0</v>
      </c>
      <c r="AB34" s="12">
        <f>ROUND(ExtraPayment+IF($G$33&lt;=0,MastercardMinPayment,0)+IF($L$33&lt;=0,VisaCardMinPayment,0)+IF($Q$33&lt;=0,PersonalLoanMinPayment,0)+IF($V$33&lt;=0,AutoLoanMinPayment,0)+IF($AA$33&lt;=0,ClinicPaymentPlanMinPayment,0),2)</f>
        <v>909.0</v>
      </c>
      <c r="AC34" s="12">
        <f>ROUND(SUM($D$34,$I$34,$N$34,$S$34,$X$34),2)</f>
        <v>24.64</v>
      </c>
      <c r="AD34" s="12">
        <f>ROUND(SUM($G$34,$L$34,$Q$34,$V$34,$AA$34),2)</f>
        <v>3405.94</v>
      </c>
    </row>
    <row r="35" spans="1:30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ROUND(IF($C$35&lt;=0,0,$C$35*MastercardAPR/12),2)</f>
        <v>0.0</v>
      </c>
      <c r="E35" s="12">
        <f>ROUND(IF($C$35&lt;=0,0,MIN(MastercardMinPayment,$C$35+$D$35)),2)</f>
        <v>0.0</v>
      </c>
      <c r="F35" s="12">
        <f>ROUND(IF($C$35&lt;=0,0,MIN(MAX(0,$C$35+$D$35-$E$35),$AB$35)),2)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ROUND(IF($H$35&lt;=0,0,$H$35*VisaCardAPR/12),2)</f>
        <v>0.0</v>
      </c>
      <c r="J35" s="12">
        <f>ROUND(IF($H$35&lt;=0,0,MIN(VisaCardMinPayment,$H$35+$I$35)),2)</f>
        <v>0.0</v>
      </c>
      <c r="K35" s="12">
        <f>ROUND(IF($H$35&lt;=0,0,MIN(MAX(0,$H$35+$I$35-$J$35),MAX(0,$AB$35-$F$35))),2)</f>
        <v>0.0</v>
      </c>
      <c r="L35" s="12">
        <f>ROUND(MAX(0,$H$35+$I$35-$J$35-$K$35),2)</f>
        <v>0.0</v>
      </c>
      <c r="M35" s="12">
        <f>$Q$34</f>
        <v>0.0</v>
      </c>
      <c r="N35" s="12">
        <f>ROUND(IF($M$35&lt;=0,0,$M$35*PersonalLoanAPR/12),2)</f>
        <v>0.0</v>
      </c>
      <c r="O35" s="12">
        <f>ROUND(IF($M$35&lt;=0,0,MIN(PersonalLoanMinPayment,$M$35+$N$35)),2)</f>
        <v>0.0</v>
      </c>
      <c r="P35" s="12">
        <f>ROUND(IF($M$35&lt;=0,0,MIN(MAX(0,$M$35+$N$35-$O$35),MAX(0,$AB$35-$F$35-$K$35))),2)</f>
        <v>0.0</v>
      </c>
      <c r="Q35" s="12">
        <f>ROUND(MAX(0,$M$35+$N$35-$O$35-$P$35),2)</f>
        <v>0.0</v>
      </c>
      <c r="R35" s="12">
        <f>$V$34</f>
        <v>3405.94</v>
      </c>
      <c r="S35" s="12">
        <f>ROUND(IF($R$35&lt;=0,0,$R$35*AutoLoanAPR/12),2)</f>
        <v>18.42</v>
      </c>
      <c r="T35" s="12">
        <f>ROUND(IF($R$35&lt;=0,0,MIN(AutoLoanMinPayment,$R$35+$S$35)),2)</f>
        <v>265.0</v>
      </c>
      <c r="U35" s="12">
        <f>ROUND(IF($R$35&lt;=0,0,MIN(MAX(0,$R$35+$S$35-$T$35),MAX(0,$AB$35-$F$35-$K$35-$P$35))),2)</f>
        <v>909.0</v>
      </c>
      <c r="V35" s="12">
        <f>ROUND(MAX(0,$R$35+$S$35-$T$35-$U$35),2)</f>
        <v>2250.36</v>
      </c>
      <c r="W35" s="12">
        <f>$AA$34</f>
        <v>0.0</v>
      </c>
      <c r="X35" s="12">
        <f>ROUND(IF($W$35&lt;=0,0,$W$35*ClinicPaymentPlanAPR/12),2)</f>
        <v>0.0</v>
      </c>
      <c r="Y35" s="12">
        <f>ROUND(IF($W$35&lt;=0,0,MIN(ClinicPaymentPlanMinPayment,$W$35+$X$35)),2)</f>
        <v>0.0</v>
      </c>
      <c r="Z35" s="12">
        <f>ROUND(IF($W$35&lt;=0,0,MIN(MAX(0,$W$35+$X$35-$Y$35),MAX(0,$AB$35-$F$35-$K$35-$P$35-$U$35))),2)</f>
        <v>0.0</v>
      </c>
      <c r="AA35" s="12">
        <f>ROUND(MAX(0,$W$35+$X$35-$Y$35-$Z$35),2)</f>
        <v>0.0</v>
      </c>
      <c r="AB35" s="12">
        <f>ROUND(ExtraPayment+IF($G$34&lt;=0,MastercardMinPayment,0)+IF($L$34&lt;=0,VisaCardMinPayment,0)+IF($Q$34&lt;=0,PersonalLoanMinPayment,0)+IF($V$34&lt;=0,AutoLoanMinPayment,0)+IF($AA$34&lt;=0,ClinicPaymentPlanMinPayment,0),2)</f>
        <v>909.0</v>
      </c>
      <c r="AC35" s="12">
        <f>ROUND(SUM($D$35,$I$35,$N$35,$S$35,$X$35),2)</f>
        <v>18.42</v>
      </c>
      <c r="AD35" s="12">
        <f>ROUND(SUM($G$35,$L$35,$Q$35,$V$35,$AA$35),2)</f>
        <v>2250.36</v>
      </c>
    </row>
    <row r="36" spans="1:30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ROUND(IF($C$36&lt;=0,0,$C$36*MastercardAPR/12),2)</f>
        <v>0.0</v>
      </c>
      <c r="E36" s="12">
        <f>ROUND(IF($C$36&lt;=0,0,MIN(MastercardMinPayment,$C$36+$D$36)),2)</f>
        <v>0.0</v>
      </c>
      <c r="F36" s="12">
        <f>ROUND(IF($C$36&lt;=0,0,MIN(MAX(0,$C$36+$D$36-$E$36),$AB$36)),2)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ROUND(IF($H$36&lt;=0,0,$H$36*VisaCardAPR/12),2)</f>
        <v>0.0</v>
      </c>
      <c r="J36" s="12">
        <f>ROUND(IF($H$36&lt;=0,0,MIN(VisaCardMinPayment,$H$36+$I$36)),2)</f>
        <v>0.0</v>
      </c>
      <c r="K36" s="12">
        <f>ROUND(IF($H$36&lt;=0,0,MIN(MAX(0,$H$36+$I$36-$J$36),MAX(0,$AB$36-$F$36))),2)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ROUND(IF($M$36&lt;=0,0,$M$36*PersonalLoanAPR/12),2)</f>
        <v>0.0</v>
      </c>
      <c r="O36" s="12">
        <f>ROUND(IF($M$36&lt;=0,0,MIN(PersonalLoanMinPayment,$M$36+$N$36)),2)</f>
        <v>0.0</v>
      </c>
      <c r="P36" s="12">
        <f>ROUND(IF($M$36&lt;=0,0,MIN(MAX(0,$M$36+$N$36-$O$36),MAX(0,$AB$36-$F$36-$K$36))),2)</f>
        <v>0.0</v>
      </c>
      <c r="Q36" s="12">
        <f>ROUND(MAX(0,$M$36+$N$36-$O$36-$P$36),2)</f>
        <v>0.0</v>
      </c>
      <c r="R36" s="12">
        <f>$V$35</f>
        <v>2250.36</v>
      </c>
      <c r="S36" s="12">
        <f>ROUND(IF($R$36&lt;=0,0,$R$36*AutoLoanAPR/12),2)</f>
        <v>12.17</v>
      </c>
      <c r="T36" s="12">
        <f>ROUND(IF($R$36&lt;=0,0,MIN(AutoLoanMinPayment,$R$36+$S$36)),2)</f>
        <v>265.0</v>
      </c>
      <c r="U36" s="12">
        <f>ROUND(IF($R$36&lt;=0,0,MIN(MAX(0,$R$36+$S$36-$T$36),MAX(0,$AB$36-$F$36-$K$36-$P$36))),2)</f>
        <v>909.0</v>
      </c>
      <c r="V36" s="12">
        <f>ROUND(MAX(0,$R$36+$S$36-$T$36-$U$36),2)</f>
        <v>1088.53</v>
      </c>
      <c r="W36" s="12">
        <f>$AA$35</f>
        <v>0.0</v>
      </c>
      <c r="X36" s="12">
        <f>ROUND(IF($W$36&lt;=0,0,$W$36*ClinicPaymentPlanAPR/12),2)</f>
        <v>0.0</v>
      </c>
      <c r="Y36" s="12">
        <f>ROUND(IF($W$36&lt;=0,0,MIN(ClinicPaymentPlanMinPayment,$W$36+$X$36)),2)</f>
        <v>0.0</v>
      </c>
      <c r="Z36" s="12">
        <f>ROUND(IF($W$36&lt;=0,0,MIN(MAX(0,$W$36+$X$36-$Y$36),MAX(0,$AB$36-$F$36-$K$36-$P$36-$U$36))),2)</f>
        <v>0.0</v>
      </c>
      <c r="AA36" s="12">
        <f>ROUND(MAX(0,$W$36+$X$36-$Y$36-$Z$36),2)</f>
        <v>0.0</v>
      </c>
      <c r="AB36" s="12">
        <f>ROUND(ExtraPayment+IF($G$35&lt;=0,MastercardMinPayment,0)+IF($L$35&lt;=0,VisaCardMinPayment,0)+IF($Q$35&lt;=0,PersonalLoanMinPayment,0)+IF($V$35&lt;=0,AutoLoanMinPayment,0)+IF($AA$35&lt;=0,ClinicPaymentPlanMinPayment,0),2)</f>
        <v>909.0</v>
      </c>
      <c r="AC36" s="12">
        <f>ROUND(SUM($D$36,$I$36,$N$36,$S$36,$X$36),2)</f>
        <v>12.17</v>
      </c>
      <c r="AD36" s="12">
        <f>ROUND(SUM($G$36,$L$36,$Q$36,$V$36,$AA$36),2)</f>
        <v>1088.53</v>
      </c>
    </row>
    <row r="37" spans="1:30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ROUND(IF($C$37&lt;=0,0,$C$37*MastercardAPR/12),2)</f>
        <v>0.0</v>
      </c>
      <c r="E37" s="12">
        <f>ROUND(IF($C$37&lt;=0,0,MIN(MastercardMinPayment,$C$37+$D$37)),2)</f>
        <v>0.0</v>
      </c>
      <c r="F37" s="12">
        <f>ROUND(IF($C$37&lt;=0,0,MIN(MAX(0,$C$37+$D$37-$E$37),$AB$37)),2)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ROUND(IF($H$37&lt;=0,0,$H$37*VisaCardAPR/12),2)</f>
        <v>0.0</v>
      </c>
      <c r="J37" s="12">
        <f>ROUND(IF($H$37&lt;=0,0,MIN(VisaCardMinPayment,$H$37+$I$37)),2)</f>
        <v>0.0</v>
      </c>
      <c r="K37" s="12">
        <f>ROUND(IF($H$37&lt;=0,0,MIN(MAX(0,$H$37+$I$37-$J$37),MAX(0,$AB$37-$F$37))),2)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ROUND(IF($M$37&lt;=0,0,$M$37*PersonalLoanAPR/12),2)</f>
        <v>0.0</v>
      </c>
      <c r="O37" s="12">
        <f>ROUND(IF($M$37&lt;=0,0,MIN(PersonalLoanMinPayment,$M$37+$N$37)),2)</f>
        <v>0.0</v>
      </c>
      <c r="P37" s="12">
        <f>ROUND(IF($M$37&lt;=0,0,MIN(MAX(0,$M$37+$N$37-$O$37),MAX(0,$AB$37-$F$37-$K$37))),2)</f>
        <v>0.0</v>
      </c>
      <c r="Q37" s="12">
        <f>ROUND(MAX(0,$M$37+$N$37-$O$37-$P$37),2)</f>
        <v>0.0</v>
      </c>
      <c r="R37" s="12">
        <f>$V$36</f>
        <v>1088.53</v>
      </c>
      <c r="S37" s="12">
        <f>ROUND(IF($R$37&lt;=0,0,$R$37*AutoLoanAPR/12),2)</f>
        <v>5.89</v>
      </c>
      <c r="T37" s="12">
        <f>ROUND(IF($R$37&lt;=0,0,MIN(AutoLoanMinPayment,$R$37+$S$37)),2)</f>
        <v>265.0</v>
      </c>
      <c r="U37" s="12">
        <f>ROUND(IF($R$37&lt;=0,0,MIN(MAX(0,$R$37+$S$37-$T$37),MAX(0,$AB$37-$F$37-$K$37-$P$37))),2)</f>
        <v>829.42</v>
      </c>
      <c r="V37" s="12">
        <f>ROUND(MAX(0,$R$37+$S$37-$T$37-$U$37),2)</f>
        <v>0.0</v>
      </c>
      <c r="W37" s="12">
        <f>$AA$36</f>
        <v>0.0</v>
      </c>
      <c r="X37" s="12">
        <f>ROUND(IF($W$37&lt;=0,0,$W$37*ClinicPaymentPlanAPR/12),2)</f>
        <v>0.0</v>
      </c>
      <c r="Y37" s="12">
        <f>ROUND(IF($W$37&lt;=0,0,MIN(ClinicPaymentPlanMinPayment,$W$37+$X$37)),2)</f>
        <v>0.0</v>
      </c>
      <c r="Z37" s="12">
        <f>ROUND(IF($W$37&lt;=0,0,MIN(MAX(0,$W$37+$X$37-$Y$37),MAX(0,$AB$37-$F$37-$K$37-$P$37-$U$37))),2)</f>
        <v>0.0</v>
      </c>
      <c r="AA37" s="12">
        <f>ROUND(MAX(0,$W$37+$X$37-$Y$37-$Z$37),2)</f>
        <v>0.0</v>
      </c>
      <c r="AB37" s="12">
        <f>ROUND(ExtraPayment+IF($G$36&lt;=0,MastercardMinPayment,0)+IF($L$36&lt;=0,VisaCardMinPayment,0)+IF($Q$36&lt;=0,PersonalLoanMinPayment,0)+IF($V$36&lt;=0,AutoLoanMinPayment,0)+IF($AA$36&lt;=0,ClinicPaymentPlanMinPayment,0),2)</f>
        <v>909.0</v>
      </c>
      <c r="AC37" s="12">
        <f>ROUND(SUM($D$37,$I$37,$N$37,$S$37,$X$37),2)</f>
        <v>5.89</v>
      </c>
      <c r="AD37" s="12">
        <f>ROUND(SUM($G$37,$L$37,$Q$37,$V$37,$AA$37),2)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&amp;LDebt Payoff Calculator Dashboard&amp;CDebtPayoffSpreadsheet.org&amp;Rv1.0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workbookViewId="0"/>
  </sheetViews>
  <sheetFormatPr defaultRowHeight="15"/>
  <cols>
    <col min="1" max="1" width="19.7109375" customWidth="1"/>
    <col min="2" max="2" width="16.7109375" customWidth="1"/>
    <col min="3" max="3" width="18.7109375" customWidth="1"/>
    <col min="4" max="4" width="16.7109375" customWidth="1"/>
    <col min="5" max="12" width="12.7109375" customWidth="1"/>
  </cols>
  <sheetData>
    <row r="1" spans="1:12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8" customHeight="1">
      <c r="A2" s="1" t="s">
        <v>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58</v>
      </c>
      <c r="B3" s="2"/>
      <c r="C3" s="2"/>
      <c r="D3" s="2"/>
    </row>
    <row r="4" spans="1:12">
      <c r="A4" s="13" t="s">
        <v>59</v>
      </c>
      <c r="B4" s="18" t="str">
        <f>TEXT(EDATE(StartDate,B5-1),"mmmm yyyy")</f>
        <v>December 2028</v>
      </c>
      <c r="C4" s="13" t="s">
        <v>63</v>
      </c>
      <c r="D4" s="17" t="s">
        <v>64</v>
      </c>
    </row>
    <row r="5" spans="1:12">
      <c r="A5" s="13" t="s">
        <v>60</v>
      </c>
      <c r="B5" s="17">
        <f>MATCH(0,'Avalanche_Schedule'!AD5:AD37,0)</f>
        <v>33</v>
      </c>
      <c r="C5" s="13" t="s">
        <v>65</v>
      </c>
      <c r="D5" s="12">
        <f>ExtraPayment</f>
        <v>300.0</v>
      </c>
    </row>
    <row r="6" spans="1:12">
      <c r="A6" s="13" t="s">
        <v>61</v>
      </c>
      <c r="B6" s="12">
        <f>SUM('Avalanche_Schedule'!AC5:AC37)</f>
        <v>6652.42</v>
      </c>
      <c r="C6" s="13" t="s">
        <v>66</v>
      </c>
      <c r="D6" s="12">
        <f>TotalMinimums</f>
        <v>874.0</v>
      </c>
    </row>
    <row r="7" spans="1:12">
      <c r="A7" s="13" t="s">
        <v>62</v>
      </c>
      <c r="B7" s="12">
        <f>TotalDebt+B6</f>
        <v>38652.42</v>
      </c>
      <c r="C7" s="13" t="s">
        <v>67</v>
      </c>
      <c r="D7" s="12">
        <f>TotalMinimums+ExtraPayment</f>
        <v>1174.0</v>
      </c>
    </row>
    <row r="8" spans="1:12">
      <c r="A8" s="15" t="s">
        <v>68</v>
      </c>
      <c r="B8" s="15"/>
      <c r="C8" s="15"/>
      <c r="D8" s="15"/>
    </row>
    <row r="10" spans="1:12">
      <c r="A10" s="2" t="s">
        <v>69</v>
      </c>
      <c r="B10" s="2"/>
      <c r="C10" s="2"/>
      <c r="D10" s="2"/>
      <c r="E10" s="2"/>
    </row>
    <row r="11" spans="1:12">
      <c r="A11" s="7" t="s">
        <v>24</v>
      </c>
      <c r="B11" s="7" t="s">
        <v>25</v>
      </c>
      <c r="C11" s="7" t="s">
        <v>26</v>
      </c>
      <c r="D11" s="7" t="s">
        <v>27</v>
      </c>
      <c r="E11" s="7" t="s">
        <v>70</v>
      </c>
    </row>
    <row r="12" spans="1:12">
      <c r="A12" s="3" t="str">
        <f>Inputs!A5</f>
        <v>Clinic Payment Plan</v>
      </c>
      <c r="B12" s="12">
        <f>Inputs!B5</f>
        <v>900.0</v>
      </c>
      <c r="C12" s="19">
        <f>Inputs!C5</f>
        <v>0.0</v>
      </c>
      <c r="D12" s="12">
        <f>Inputs!D5</f>
        <v>35.0</v>
      </c>
      <c r="E12" s="16">
        <f>RANK(C12,$C$12:$C$16,0)</f>
        <v>5</v>
      </c>
    </row>
    <row r="13" spans="1:12">
      <c r="A13" s="3" t="str">
        <f>Inputs!A6</f>
        <v>Mastercard</v>
      </c>
      <c r="B13" s="12">
        <f>Inputs!B6</f>
        <v>8200.0</v>
      </c>
      <c r="C13" s="19">
        <f>Inputs!C6</f>
        <v>0.2899</v>
      </c>
      <c r="D13" s="12">
        <f>Inputs!D6</f>
        <v>246.0</v>
      </c>
      <c r="E13" s="16">
        <f>RANK(C13,$C$12:$C$16,0)</f>
        <v>1</v>
      </c>
    </row>
    <row r="14" spans="1:12">
      <c r="A14" s="3" t="str">
        <f>Inputs!A7</f>
        <v>Visa Card</v>
      </c>
      <c r="B14" s="12">
        <f>Inputs!B7</f>
        <v>4100.0</v>
      </c>
      <c r="C14" s="19">
        <f>Inputs!C7</f>
        <v>0.2199</v>
      </c>
      <c r="D14" s="12">
        <f>Inputs!D7</f>
        <v>123.0</v>
      </c>
      <c r="E14" s="16">
        <f>RANK(C14,$C$12:$C$16,0)</f>
        <v>2</v>
      </c>
    </row>
    <row r="15" spans="1:12">
      <c r="A15" s="3" t="str">
        <f>Inputs!A8</f>
        <v>Personal Loan</v>
      </c>
      <c r="B15" s="12">
        <f>Inputs!B8</f>
        <v>7300.0</v>
      </c>
      <c r="C15" s="19">
        <f>Inputs!C8</f>
        <v>0.139</v>
      </c>
      <c r="D15" s="12">
        <f>Inputs!D8</f>
        <v>205.0</v>
      </c>
      <c r="E15" s="16">
        <f>RANK(C15,$C$12:$C$16,0)</f>
        <v>3</v>
      </c>
    </row>
    <row r="16" spans="1:12">
      <c r="A16" s="3" t="str">
        <f>Inputs!A9</f>
        <v>Auto Loan</v>
      </c>
      <c r="B16" s="12">
        <f>Inputs!B9</f>
        <v>11500.0</v>
      </c>
      <c r="C16" s="19">
        <f>Inputs!C9</f>
        <v>0.0649</v>
      </c>
      <c r="D16" s="12">
        <f>Inputs!D9</f>
        <v>265.0</v>
      </c>
      <c r="E16" s="16">
        <f>RANK(C16,$C$12:$C$16,0)</f>
        <v>4</v>
      </c>
    </row>
  </sheetData>
  <mergeCells count="5">
    <mergeCell ref="A1:L1"/>
    <mergeCell ref="A2:L2"/>
    <mergeCell ref="A3:D3"/>
    <mergeCell ref="A8:D8"/>
    <mergeCell ref="A10:E10"/>
  </mergeCells>
  <pageMargins left="0.7" right="0.7" top="0.75" bottom="0.75" header="0.3" footer="0.3"/>
  <headerFooter>
    <oddFooter>&amp;LDebt Payoff Calculator Dashboard&amp;CDebtPayoffSpreadsheet.org&amp;Rv1.0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71</v>
      </c>
      <c r="B2" s="1"/>
    </row>
    <row r="4" spans="1:2">
      <c r="A4" s="2" t="s">
        <v>72</v>
      </c>
      <c r="B4" s="20" t="s">
        <v>73</v>
      </c>
    </row>
    <row r="5" spans="1:2">
      <c r="B5" s="20" t="s">
        <v>74</v>
      </c>
    </row>
    <row r="6" spans="1:2">
      <c r="B6" s="20" t="s">
        <v>75</v>
      </c>
    </row>
    <row r="8" spans="1:2">
      <c r="A8" s="2" t="s">
        <v>76</v>
      </c>
      <c r="B8" s="20" t="s">
        <v>77</v>
      </c>
    </row>
    <row r="9" spans="1:2">
      <c r="B9" s="20" t="s">
        <v>78</v>
      </c>
    </row>
    <row r="10" spans="1:2">
      <c r="B10" s="20" t="s">
        <v>79</v>
      </c>
    </row>
    <row r="12" spans="1:2">
      <c r="A12" s="2" t="s">
        <v>80</v>
      </c>
      <c r="B12" s="20" t="s">
        <v>81</v>
      </c>
    </row>
    <row r="13" spans="1:2">
      <c r="B13" s="20" t="s">
        <v>82</v>
      </c>
    </row>
    <row r="14" spans="1:2">
      <c r="B14" s="20" t="s">
        <v>83</v>
      </c>
    </row>
    <row r="17" spans="1:2">
      <c r="A17" s="2" t="s">
        <v>84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Payoff Calculator Dashboard&amp;CDebtPayoffSpreadsheet.org&amp;Rv1.0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Start_Here</vt:lpstr>
      <vt:lpstr>Inputs</vt:lpstr>
      <vt:lpstr>Avalanche_Schedule</vt:lpstr>
      <vt:lpstr>Dashboard</vt:lpstr>
      <vt:lpstr>Bonus_Tips</vt:lpstr>
      <vt:lpstr>AutoLoanAPR</vt:lpstr>
      <vt:lpstr>AutoLoanBalance</vt:lpstr>
      <vt:lpstr>AutoLoanMinPayment</vt:lpstr>
      <vt:lpstr>ClinicPaymentPlanAPR</vt:lpstr>
      <vt:lpstr>ClinicPaymentPlanBalance</vt:lpstr>
      <vt:lpstr>ClinicPaymentPlanMinPayment</vt:lpstr>
      <vt:lpstr>ExtraPayment</vt:lpstr>
      <vt:lpstr>MastercardAPR</vt:lpstr>
      <vt:lpstr>MastercardBalance</vt:lpstr>
      <vt:lpstr>MastercardMinPayment</vt:lpstr>
      <vt:lpstr>PersonalLoanAPR</vt:lpstr>
      <vt:lpstr>PersonalLoanBalance</vt:lpstr>
      <vt:lpstr>PersonalLoanMinPayment</vt:lpstr>
      <vt:lpstr>StartDate</vt:lpstr>
      <vt:lpstr>TotalDebt</vt:lpstr>
      <vt:lpstr>TotalMinimums</vt:lpstr>
      <vt:lpstr>VisaCardAPR</vt:lpstr>
      <vt:lpstr>VisaCardBalance</vt:lpstr>
      <vt:lpstr>VisaCardMinPayment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2026-03-07T06:41:08Z</dcterms:created>
  <dcterms:modified xsi:type="dcterms:W3CDTF">2026-03-07T06:41:08Z</dcterms:modified>
</cp:coreProperties>
</file>