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Dashboard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ExtraPayment">Inputs!$B$12</definedName>
    <definedName name="MastercardAPR">Inputs!$C$6</definedName>
    <definedName name="MastercardBalance">Inputs!$B$6</definedName>
    <definedName name="MastercardMinPayment">Inputs!$D$6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<sst xmlns="http://schemas.openxmlformats.org/spreadsheetml/2006/main" count="122" uniqueCount="82">
  <si>
    <t>Excel Debt Payoff Dashboard</t>
  </si>
  <si>
    <t>Website</t>
  </si>
  <si>
    <t>Debt Payoff Spreadsheet</t>
  </si>
  <si>
    <t>Who It Helps</t>
  </si>
  <si>
    <t>A one-screen Excel workbook for readers who want an offline debt payoff dashboard with exact payoff timing, total interest, and a live balance chart.</t>
  </si>
  <si>
    <t>About This Template</t>
  </si>
  <si>
    <t>This file matches the article's five-debt Excel example, starting in April 2026 with an extra $250 beyond required minimum payments.</t>
  </si>
  <si>
    <t>The Dashboard sheet is built to open screenshot-ready, so the debt-free month, total interest, and payoff order are visible without scrolling.</t>
  </si>
  <si>
    <t>The schedule sheet sits behind the dashboard and rolls each freed minimum payment forward automatically as debts disappear.</t>
  </si>
  <si>
    <t>How to Use</t>
  </si>
  <si>
    <t>1. Open the Inputs sheet to review the article scenario or swap in your own balances, APRs, and minimum payments.</t>
  </si>
  <si>
    <t>2. Leave the yellow cells alone if you want the exact article numbers, or edit them to test a different payment plan.</t>
  </si>
  <si>
    <t>3. Use the Avalanche_Schedule sheet if you want to inspect the month-by-month math behind the dashboard summary.</t>
  </si>
  <si>
    <t>4. Return to Dashboard to see payoff timing, total interest, total paid, and the balance chart in one place.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</si>
  <si>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</si>
  <si>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</si>
  <si>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</si>
  <si>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</si>
  <si>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</si>
  <si>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</si>
  <si>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</si>
  <si>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</si>
  <si>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Excel Debt Payoff Dashboard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</si>
  <si>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</si>
  <si>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</si>
  <si>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</si>
  <si>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</si>
  <si>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</si>
  <si>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</si>
  <si>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</si>
  <si>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</si>
  <si>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</t>
  </si>
  <si>
    <t>Article sample values</t>
  </si>
  <si>
    <t>Mastercard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</si>
  <si>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</si>
  <si>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</si>
  <si>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</si>
  <si>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</si>
  <si>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</si>
  <si>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</si>
  <si>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</si>
  <si>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</si>
  <si>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This dashboard uses avalanche ordering, so the highest APR debt receives the full extra-payment stream first.</t>
  </si>
  <si>
    <t>Monthly Outlay</t>
  </si>
  <si>
    <t>The dashboard is most useful when the extra-payment amount is stable enough to repeat every month.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</si>
  <si>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</si>
  <si>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</si>
  <si>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</si>
  <si>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</si>
  <si>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</si>
  <si>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</si>
  <si>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</si>
  <si>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</si>
  <si>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</si>
  <si>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</si>
  <si>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</si>
  <si>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</si>
  <si>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Avalanche Summary</t>
  </si>
  <si>
    <t>Debt-Free Month</t>
  </si>
  <si>
    <t>Months to Payoff</t>
  </si>
  <si>
    <t>Total Interest</t>
  </si>
  <si>
    <t>Total Paid</t>
  </si>
  <si>
    <t>Starting Debt</t>
  </si>
  <si>
    <t>Minimums</t>
  </si>
  <si>
    <t>Extra Payment</t>
  </si>
  <si>
    <t>This sample reaches zero in 34 months because the extra payment stays focused on the 27.99% Visa first, then rolls through the remaining balances.</t>
  </si>
  <si>
    <t>Debt List</t>
  </si>
  <si>
    <t>Order</t>
  </si>
  <si>
    <t>Excel Debt Payoff Dashboard Tips</t>
  </si>
  <si>
    <t>How To Read The Dashboard</t>
  </si>
  <si>
    <t>- Debt-free month is the first period where every ending balance reaches $0.00 on the schedule sheet.</t>
  </si>
  <si>
    <t>- Total interest is the sum of every month's interest, not a shortcut based on the opening APRs.</t>
  </si>
  <si>
    <t>- Monthly outlay matters as much as payoff month because it tells you whether the plan fits the real budget.</t>
  </si>
  <si>
    <t>What Changes The Result Fastest</t>
  </si>
  <si>
    <t>- Raising the Extra Payment cell moves the payoff month sooner because the next month's balance starts lower.</t>
  </si>
  <si>
    <t>- High-rate card balances matter most early, which is why avalanche shortens the plan in this sample.</t>
  </si>
  <si>
    <t>- Once one debt is gone, its minimum payment becomes fresh cash for the next balance in line.</t>
  </si>
  <si>
    <t>Excel Limits To Remember</t>
  </si>
  <si>
    <t>- This dashboard assumes you stop adding new charges while the payoff plan is running.</t>
  </si>
  <si>
    <t>- Promotional balances and changing minimum-payment formulas should be updated on the Inputs sheet as soon as they change.</t>
  </si>
  <si>
    <t>- If the extra-payment amount is not repeatable every month, treat this workbook as a planning range instead of a promise.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</si>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</sst>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Balance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Remaining balance</c:v>
          </c:tx>
          <c:spPr>
            <a:ln w="31750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Avalanche_Schedule!$B$5:$B$38</c:f>
              <c:strCache>
                <c:ptCount val="34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  <c:pt idx="33">
                  <c:v>Jan 2029</c:v>
                </c:pt>
              </c:strCache>
            </c:strRef>
          </c:cat>
          <c:val>
            <c:numRef>
              <c:f>Avalanche_Schedule!$AD$5:$AD$38</c:f>
              <c:numCache>
                <c:formatCode>General</c:formatCode>
                <c:ptCount val="34"/>
                <c:pt idx="0">
                  <c:v>31590.7</c:v>
                </c:pt>
                <c:pt idx="1">
                  <c:v>30820.23</c:v>
                </c:pt>
                <c:pt idx="2">
                  <c:v>30038.38</c:v>
                </c:pt>
                <c:pt idx="3">
                  <c:v>29244.95</c:v>
                </c:pt>
                <c:pt idx="4">
                  <c:v>28439.7</c:v>
                </c:pt>
                <c:pt idx="5">
                  <c:v>27622.41</c:v>
                </c:pt>
                <c:pt idx="6">
                  <c:v>26792.85</c:v>
                </c:pt>
                <c:pt idx="7">
                  <c:v>25950.79</c:v>
                </c:pt>
                <c:pt idx="8">
                  <c:v>25095.97</c:v>
                </c:pt>
                <c:pt idx="9">
                  <c:v>24228.15</c:v>
                </c:pt>
                <c:pt idx="10">
                  <c:v>23347.08</c:v>
                </c:pt>
                <c:pt idx="11">
                  <c:v>22452.49</c:v>
                </c:pt>
                <c:pt idx="12">
                  <c:v>21544.13</c:v>
                </c:pt>
                <c:pt idx="13">
                  <c:v>20621.73</c:v>
                </c:pt>
                <c:pt idx="14">
                  <c:v>19685.0</c:v>
                </c:pt>
                <c:pt idx="15">
                  <c:v>18733.67</c:v>
                </c:pt>
                <c:pt idx="16">
                  <c:v>17767.44</c:v>
                </c:pt>
                <c:pt idx="17">
                  <c:v>16786.03</c:v>
                </c:pt>
                <c:pt idx="18">
                  <c:v>15789.15</c:v>
                </c:pt>
                <c:pt idx="19">
                  <c:v>14776.46</c:v>
                </c:pt>
                <c:pt idx="20">
                  <c:v>13747.68</c:v>
                </c:pt>
                <c:pt idx="21">
                  <c:v>12894.72</c:v>
                </c:pt>
                <c:pt idx="22">
                  <c:v>11838.04</c:v>
                </c:pt>
                <c:pt idx="23">
                  <c:v>10765.93</c:v>
                </c:pt>
                <c:pt idx="24">
                  <c:v>9678.09</c:v>
                </c:pt>
                <c:pt idx="25">
                  <c:v>8574.28</c:v>
                </c:pt>
                <c:pt idx="26">
                  <c:v>7454.22</c:v>
                </c:pt>
                <c:pt idx="27">
                  <c:v>6317.63</c:v>
                </c:pt>
                <c:pt idx="28">
                  <c:v>5257.46</c:v>
                </c:pt>
                <c:pt idx="29">
                  <c:v>4093.2</c:v>
                </c:pt>
                <c:pt idx="30">
                  <c:v>2917.69</c:v>
                </c:pt>
                <c:pt idx="31">
                  <c:v>1730.82</c:v>
                </c:pt>
                <c:pt idx="32">
                  <c:v>533.77</c:v>
                </c:pt>
                <c:pt idx="33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low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Remaining Debt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85725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excel-debt-payoff-dashboard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&amp;LExcel Debt Payoff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650</v>
      </c>
      <c r="C5" s="10">
        <v>0</v>
      </c>
      <c r="D5" s="9">
        <v>30</v>
      </c>
      <c r="E5" s="3" t="s">
        <v>31</v>
      </c>
      <c r="F5" s="3" t="s">
        <v>32</v>
      </c>
    </row>
    <row r="6" spans="1:6">
      <c r="A6" s="8" t="s">
        <v>33</v>
      </c>
      <c r="B6" s="9">
        <v>6100</v>
      </c>
      <c r="C6" s="10">
        <v>0.2299</v>
      </c>
      <c r="D6" s="9">
        <v>183</v>
      </c>
      <c r="E6" s="3" t="s">
        <v>34</v>
      </c>
      <c r="F6" s="3" t="s">
        <v>32</v>
      </c>
    </row>
    <row r="7" spans="1:6">
      <c r="A7" s="8" t="s">
        <v>35</v>
      </c>
      <c r="B7" s="9">
        <v>8200</v>
      </c>
      <c r="C7" s="10">
        <v>0.2799</v>
      </c>
      <c r="D7" s="9">
        <v>246</v>
      </c>
      <c r="E7" s="3" t="s">
        <v>34</v>
      </c>
      <c r="F7" s="3" t="s">
        <v>32</v>
      </c>
    </row>
    <row r="8" spans="1:6">
      <c r="A8" s="8" t="s">
        <v>36</v>
      </c>
      <c r="B8" s="9">
        <v>7900</v>
      </c>
      <c r="C8" s="10">
        <v>0.129</v>
      </c>
      <c r="D8" s="9">
        <v>229</v>
      </c>
      <c r="E8" s="3" t="s">
        <v>37</v>
      </c>
      <c r="F8" s="3" t="s">
        <v>32</v>
      </c>
    </row>
    <row r="9" spans="1:6">
      <c r="A9" s="8" t="s">
        <v>38</v>
      </c>
      <c r="B9" s="9">
        <v>9500</v>
      </c>
      <c r="C9" s="10">
        <v>0.06900000000000001</v>
      </c>
      <c r="D9" s="9">
        <v>269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32350.0</v>
      </c>
      <c r="C10" s="11"/>
      <c r="D10" s="12">
        <f>SUM(D5:D9)</f>
        <v>957.0</v>
      </c>
      <c r="E10" s="11"/>
      <c r="F10" s="11"/>
    </row>
    <row r="11" spans="1:6">
      <c r="A11" s="13" t="s">
        <v>40</v>
      </c>
      <c r="B11" s="14">
        <v>46113</v>
      </c>
      <c r="D11" s="15" t="s">
        <v>42</v>
      </c>
      <c r="E11" s="15"/>
      <c r="F11" s="15"/>
    </row>
    <row r="12" spans="1:6">
      <c r="A12" s="13" t="s">
        <v>41</v>
      </c>
      <c r="B12" s="9">
        <v>250</v>
      </c>
      <c r="D12" s="15"/>
      <c r="E12" s="15"/>
      <c r="F12" s="15"/>
    </row>
    <row r="13" spans="1:6">
      <c r="A13" s="13" t="s">
        <v>43</v>
      </c>
      <c r="B13" s="12">
        <f>TotalMinimums+ExtraPayment</f>
        <v>1207.0</v>
      </c>
      <c r="D13" s="15" t="s">
        <v>44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&amp;LExcel Debt Payoff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35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VisaCardBalance</f>
        <v>8200.0</v>
      </c>
      <c r="D5" s="12">
        <f>ROUND(IF($C$5&lt;=0,0,$C$5*VisaCardAPR/12),2)</f>
        <v>191.27</v>
      </c>
      <c r="E5" s="12">
        <f>ROUND(IF($C$5&lt;=0,0,MIN(VisaCardMinPayment,$C$5+$D$5)),2)</f>
        <v>246.0</v>
      </c>
      <c r="F5" s="12">
        <f>ROUND(IF($C$5&lt;=0,0,MIN(MAX(0,$C$5+$D$5-$E$5),$AB$5)),2)</f>
        <v>250.0</v>
      </c>
      <c r="G5" s="12">
        <f>ROUND(MAX(0,$C$5+$D$5-$E$5-$F$5),2)</f>
        <v>7895.27</v>
      </c>
      <c r="H5" s="12">
        <f>MastercardBalance</f>
        <v>6100.0</v>
      </c>
      <c r="I5" s="12">
        <f>ROUND(IF($H$5&lt;=0,0,$H$5*MastercardAPR/12),2)</f>
        <v>116.87</v>
      </c>
      <c r="J5" s="12">
        <f>ROUND(IF($H$5&lt;=0,0,MIN(MastercardMinPayment,$H$5+$I$5)),2)</f>
        <v>183.0</v>
      </c>
      <c r="K5" s="12">
        <f>ROUND(IF($H$5&lt;=0,0,MIN(MAX(0,$H$5+$I$5-$J$5),MAX(0,$AB$5-$F$5))),2)</f>
        <v>0.0</v>
      </c>
      <c r="L5" s="12">
        <f>ROUND(MAX(0,$H$5+$I$5-$J$5-$K$5),2)</f>
        <v>6033.87</v>
      </c>
      <c r="M5" s="12">
        <f>PersonalLoanBalance</f>
        <v>7900.0</v>
      </c>
      <c r="N5" s="12">
        <f>ROUND(IF($M$5&lt;=0,0,$M$5*PersonalLoanAPR/12),2)</f>
        <v>84.93</v>
      </c>
      <c r="O5" s="12">
        <f>ROUND(IF($M$5&lt;=0,0,MIN(PersonalLoanMinPayment,$M$5+$N$5)),2)</f>
        <v>229.0</v>
      </c>
      <c r="P5" s="12">
        <f>ROUND(IF($M$5&lt;=0,0,MIN(MAX(0,$M$5+$N$5-$O$5),MAX(0,$AB$5-$F$5-$K$5))),2)</f>
        <v>0.0</v>
      </c>
      <c r="Q5" s="12">
        <f>ROUND(MAX(0,$M$5+$N$5-$O$5-$P$5),2)</f>
        <v>7755.93</v>
      </c>
      <c r="R5" s="12">
        <f>AutoLoanBalance</f>
        <v>9500.0</v>
      </c>
      <c r="S5" s="12">
        <f>ROUND(IF($R$5&lt;=0,0,$R$5*AutoLoanAPR/12),2)</f>
        <v>54.63</v>
      </c>
      <c r="T5" s="12">
        <f>ROUND(IF($R$5&lt;=0,0,MIN(AutoLoanMinPayment,$R$5+$S$5)),2)</f>
        <v>269.0</v>
      </c>
      <c r="U5" s="12">
        <f>ROUND(IF($R$5&lt;=0,0,MIN(MAX(0,$R$5+$S$5-$T$5),MAX(0,$AB$5-$F$5-$K$5-$P$5))),2)</f>
        <v>0.0</v>
      </c>
      <c r="V5" s="12">
        <f>ROUND(MAX(0,$R$5+$S$5-$T$5-$U$5),2)</f>
        <v>9285.63</v>
      </c>
      <c r="W5" s="12">
        <f>MedicalPlanBalance</f>
        <v>650.0</v>
      </c>
      <c r="X5" s="12">
        <f>ROUND(IF($W$5&lt;=0,0,$W$5*MedicalPlanAPR/12),2)</f>
        <v>0.0</v>
      </c>
      <c r="Y5" s="12">
        <f>ROUND(IF($W$5&lt;=0,0,MIN(MedicalPlanMinPayment,$W$5+$X$5)),2)</f>
        <v>30.0</v>
      </c>
      <c r="Z5" s="12">
        <f>ROUND(IF($W$5&lt;=0,0,MIN(MAX(0,$W$5+$X$5-$Y$5),MAX(0,$AB$5-$F$5-$K$5-$P$5-$U$5))),2)</f>
        <v>0.0</v>
      </c>
      <c r="AA5" s="12">
        <f>ROUND(MAX(0,$W$5+$X$5-$Y$5-$Z$5),2)</f>
        <v>620.0</v>
      </c>
      <c r="AB5" s="12">
        <f>ROUND(ExtraPayment,2)</f>
        <v>250.0</v>
      </c>
      <c r="AC5" s="12">
        <f>ROUND(SUM($D$5,$I$5,$N$5,$S$5,$X$5),2)</f>
        <v>447.7</v>
      </c>
      <c r="AD5" s="12">
        <f>ROUND(SUM($G$5,$L$5,$Q$5,$V$5,$AA$5),2)</f>
        <v>31590.7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7895.27</v>
      </c>
      <c r="D6" s="12">
        <f>ROUND(IF($C$6&lt;=0,0,$C$6*VisaCardAPR/12),2)</f>
        <v>184.16</v>
      </c>
      <c r="E6" s="12">
        <f>ROUND(IF($C$6&lt;=0,0,MIN(VisaCardMinPayment,$C$6+$D$6)),2)</f>
        <v>246.0</v>
      </c>
      <c r="F6" s="12">
        <f>ROUND(IF($C$6&lt;=0,0,MIN(MAX(0,$C$6+$D$6-$E$6),$AB$6)),2)</f>
        <v>250.0</v>
      </c>
      <c r="G6" s="12">
        <f>ROUND(MAX(0,$C$6+$D$6-$E$6-$F$6),2)</f>
        <v>7583.43</v>
      </c>
      <c r="H6" s="12">
        <f>$L$5</f>
        <v>6033.87</v>
      </c>
      <c r="I6" s="12">
        <f>ROUND(IF($H$6&lt;=0,0,$H$6*MastercardAPR/12),2)</f>
        <v>115.6</v>
      </c>
      <c r="J6" s="12">
        <f>ROUND(IF($H$6&lt;=0,0,MIN(MastercardMinPayment,$H$6+$I$6)),2)</f>
        <v>183.0</v>
      </c>
      <c r="K6" s="12">
        <f>ROUND(IF($H$6&lt;=0,0,MIN(MAX(0,$H$6+$I$6-$J$6),MAX(0,$AB$6-$F$6))),2)</f>
        <v>0.0</v>
      </c>
      <c r="L6" s="12">
        <f>ROUND(MAX(0,$H$6+$I$6-$J$6-$K$6),2)</f>
        <v>5966.47</v>
      </c>
      <c r="M6" s="12">
        <f>$Q$5</f>
        <v>7755.93</v>
      </c>
      <c r="N6" s="12">
        <f>ROUND(IF($M$6&lt;=0,0,$M$6*PersonalLoanAPR/12),2)</f>
        <v>83.38</v>
      </c>
      <c r="O6" s="12">
        <f>ROUND(IF($M$6&lt;=0,0,MIN(PersonalLoanMinPayment,$M$6+$N$6)),2)</f>
        <v>229.0</v>
      </c>
      <c r="P6" s="12">
        <f>ROUND(IF($M$6&lt;=0,0,MIN(MAX(0,$M$6+$N$6-$O$6),MAX(0,$AB$6-$F$6-$K$6))),2)</f>
        <v>0.0</v>
      </c>
      <c r="Q6" s="12">
        <f>ROUND(MAX(0,$M$6+$N$6-$O$6-$P$6),2)</f>
        <v>7610.31</v>
      </c>
      <c r="R6" s="12">
        <f>$V$5</f>
        <v>9285.63</v>
      </c>
      <c r="S6" s="12">
        <f>ROUND(IF($R$6&lt;=0,0,$R$6*AutoLoanAPR/12),2)</f>
        <v>53.39</v>
      </c>
      <c r="T6" s="12">
        <f>ROUND(IF($R$6&lt;=0,0,MIN(AutoLoanMinPayment,$R$6+$S$6)),2)</f>
        <v>269.0</v>
      </c>
      <c r="U6" s="12">
        <f>ROUND(IF($R$6&lt;=0,0,MIN(MAX(0,$R$6+$S$6-$T$6),MAX(0,$AB$6-$F$6-$K$6-$P$6))),2)</f>
        <v>0.0</v>
      </c>
      <c r="V6" s="12">
        <f>ROUND(MAX(0,$R$6+$S$6-$T$6-$U$6),2)</f>
        <v>9070.02</v>
      </c>
      <c r="W6" s="12">
        <f>$AA$5</f>
        <v>620.0</v>
      </c>
      <c r="X6" s="12">
        <f>ROUND(IF($W$6&lt;=0,0,$W$6*MedicalPlanAPR/12),2)</f>
        <v>0.0</v>
      </c>
      <c r="Y6" s="12">
        <f>ROUND(IF($W$6&lt;=0,0,MIN(MedicalPlanMinPayment,$W$6+$X$6)),2)</f>
        <v>30.0</v>
      </c>
      <c r="Z6" s="12">
        <f>ROUND(IF($W$6&lt;=0,0,MIN(MAX(0,$W$6+$X$6-$Y$6),MAX(0,$AB$6-$F$6-$K$6-$P$6-$U$6))),2)</f>
        <v>0.0</v>
      </c>
      <c r="AA6" s="12">
        <f>ROUND(MAX(0,$W$6+$X$6-$Y$6-$Z$6),2)</f>
        <v>590.0</v>
      </c>
      <c r="AB6" s="12">
        <f>ROUND(ExtraPayment+IF($G$5&lt;=0,VisaCardMinPayment,0)+IF($L$5&lt;=0,MastercardMinPayment,0)+IF($Q$5&lt;=0,PersonalLoanMinPayment,0)+IF($V$5&lt;=0,AutoLoanMinPayment,0)+IF($AA$5&lt;=0,MedicalPlanMinPayment,0),2)</f>
        <v>250.0</v>
      </c>
      <c r="AC6" s="12">
        <f>ROUND(SUM($D$6,$I$6,$N$6,$S$6,$X$6),2)</f>
        <v>436.53</v>
      </c>
      <c r="AD6" s="12">
        <f>ROUND(SUM($G$6,$L$6,$Q$6,$V$6,$AA$6),2)</f>
        <v>30820.23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7583.43</v>
      </c>
      <c r="D7" s="12">
        <f>ROUND(IF($C$7&lt;=0,0,$C$7*VisaCardAPR/12),2)</f>
        <v>176.88</v>
      </c>
      <c r="E7" s="12">
        <f>ROUND(IF($C$7&lt;=0,0,MIN(VisaCardMinPayment,$C$7+$D$7)),2)</f>
        <v>246.0</v>
      </c>
      <c r="F7" s="12">
        <f>ROUND(IF($C$7&lt;=0,0,MIN(MAX(0,$C$7+$D$7-$E$7),$AB$7)),2)</f>
        <v>250.0</v>
      </c>
      <c r="G7" s="12">
        <f>ROUND(MAX(0,$C$7+$D$7-$E$7-$F$7),2)</f>
        <v>7264.31</v>
      </c>
      <c r="H7" s="12">
        <f>$L$6</f>
        <v>5966.47</v>
      </c>
      <c r="I7" s="12">
        <f>ROUND(IF($H$7&lt;=0,0,$H$7*MastercardAPR/12),2)</f>
        <v>114.31</v>
      </c>
      <c r="J7" s="12">
        <f>ROUND(IF($H$7&lt;=0,0,MIN(MastercardMinPayment,$H$7+$I$7)),2)</f>
        <v>183.0</v>
      </c>
      <c r="K7" s="12">
        <f>ROUND(IF($H$7&lt;=0,0,MIN(MAX(0,$H$7+$I$7-$J$7),MAX(0,$AB$7-$F$7))),2)</f>
        <v>0.0</v>
      </c>
      <c r="L7" s="12">
        <f>ROUND(MAX(0,$H$7+$I$7-$J$7-$K$7),2)</f>
        <v>5897.78</v>
      </c>
      <c r="M7" s="12">
        <f>$Q$6</f>
        <v>7610.31</v>
      </c>
      <c r="N7" s="12">
        <f>ROUND(IF($M$7&lt;=0,0,$M$7*PersonalLoanAPR/12),2)</f>
        <v>81.81</v>
      </c>
      <c r="O7" s="12">
        <f>ROUND(IF($M$7&lt;=0,0,MIN(PersonalLoanMinPayment,$M$7+$N$7)),2)</f>
        <v>229.0</v>
      </c>
      <c r="P7" s="12">
        <f>ROUND(IF($M$7&lt;=0,0,MIN(MAX(0,$M$7+$N$7-$O$7),MAX(0,$AB$7-$F$7-$K$7))),2)</f>
        <v>0.0</v>
      </c>
      <c r="Q7" s="12">
        <f>ROUND(MAX(0,$M$7+$N$7-$O$7-$P$7),2)</f>
        <v>7463.12</v>
      </c>
      <c r="R7" s="12">
        <f>$V$6</f>
        <v>9070.02</v>
      </c>
      <c r="S7" s="12">
        <f>ROUND(IF($R$7&lt;=0,0,$R$7*AutoLoanAPR/12),2)</f>
        <v>52.15</v>
      </c>
      <c r="T7" s="12">
        <f>ROUND(IF($R$7&lt;=0,0,MIN(AutoLoanMinPayment,$R$7+$S$7)),2)</f>
        <v>269.0</v>
      </c>
      <c r="U7" s="12">
        <f>ROUND(IF($R$7&lt;=0,0,MIN(MAX(0,$R$7+$S$7-$T$7),MAX(0,$AB$7-$F$7-$K$7-$P$7))),2)</f>
        <v>0.0</v>
      </c>
      <c r="V7" s="12">
        <f>ROUND(MAX(0,$R$7+$S$7-$T$7-$U$7),2)</f>
        <v>8853.17</v>
      </c>
      <c r="W7" s="12">
        <f>$AA$6</f>
        <v>590.0</v>
      </c>
      <c r="X7" s="12">
        <f>ROUND(IF($W$7&lt;=0,0,$W$7*MedicalPlanAPR/12),2)</f>
        <v>0.0</v>
      </c>
      <c r="Y7" s="12">
        <f>ROUND(IF($W$7&lt;=0,0,MIN(MedicalPlanMinPayment,$W$7+$X$7)),2)</f>
        <v>30.0</v>
      </c>
      <c r="Z7" s="12">
        <f>ROUND(IF($W$7&lt;=0,0,MIN(MAX(0,$W$7+$X$7-$Y$7),MAX(0,$AB$7-$F$7-$K$7-$P$7-$U$7))),2)</f>
        <v>0.0</v>
      </c>
      <c r="AA7" s="12">
        <f>ROUND(MAX(0,$W$7+$X$7-$Y$7-$Z$7),2)</f>
        <v>560.0</v>
      </c>
      <c r="AB7" s="12">
        <f>ROUND(ExtraPayment+IF($G$6&lt;=0,VisaCardMinPayment,0)+IF($L$6&lt;=0,MastercardMinPayment,0)+IF($Q$6&lt;=0,PersonalLoanMinPayment,0)+IF($V$6&lt;=0,AutoLoanMinPayment,0)+IF($AA$6&lt;=0,MedicalPlanMinPayment,0),2)</f>
        <v>250.0</v>
      </c>
      <c r="AC7" s="12">
        <f>ROUND(SUM($D$7,$I$7,$N$7,$S$7,$X$7),2)</f>
        <v>425.15</v>
      </c>
      <c r="AD7" s="12">
        <f>ROUND(SUM($G$7,$L$7,$Q$7,$V$7,$AA$7),2)</f>
        <v>30038.38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7264.31</v>
      </c>
      <c r="D8" s="12">
        <f>ROUND(IF($C$8&lt;=0,0,$C$8*VisaCardAPR/12),2)</f>
        <v>169.44</v>
      </c>
      <c r="E8" s="12">
        <f>ROUND(IF($C$8&lt;=0,0,MIN(VisaCardMinPayment,$C$8+$D$8)),2)</f>
        <v>246.0</v>
      </c>
      <c r="F8" s="12">
        <f>ROUND(IF($C$8&lt;=0,0,MIN(MAX(0,$C$8+$D$8-$E$8),$AB$8)),2)</f>
        <v>250.0</v>
      </c>
      <c r="G8" s="12">
        <f>ROUND(MAX(0,$C$8+$D$8-$E$8-$F$8),2)</f>
        <v>6937.75</v>
      </c>
      <c r="H8" s="12">
        <f>$L$7</f>
        <v>5897.78</v>
      </c>
      <c r="I8" s="12">
        <f>ROUND(IF($H$8&lt;=0,0,$H$8*MastercardAPR/12),2)</f>
        <v>112.99</v>
      </c>
      <c r="J8" s="12">
        <f>ROUND(IF($H$8&lt;=0,0,MIN(MastercardMinPayment,$H$8+$I$8)),2)</f>
        <v>183.0</v>
      </c>
      <c r="K8" s="12">
        <f>ROUND(IF($H$8&lt;=0,0,MIN(MAX(0,$H$8+$I$8-$J$8),MAX(0,$AB$8-$F$8))),2)</f>
        <v>0.0</v>
      </c>
      <c r="L8" s="12">
        <f>ROUND(MAX(0,$H$8+$I$8-$J$8-$K$8),2)</f>
        <v>5827.77</v>
      </c>
      <c r="M8" s="12">
        <f>$Q$7</f>
        <v>7463.12</v>
      </c>
      <c r="N8" s="12">
        <f>ROUND(IF($M$8&lt;=0,0,$M$8*PersonalLoanAPR/12),2)</f>
        <v>80.23</v>
      </c>
      <c r="O8" s="12">
        <f>ROUND(IF($M$8&lt;=0,0,MIN(PersonalLoanMinPayment,$M$8+$N$8)),2)</f>
        <v>229.0</v>
      </c>
      <c r="P8" s="12">
        <f>ROUND(IF($M$8&lt;=0,0,MIN(MAX(0,$M$8+$N$8-$O$8),MAX(0,$AB$8-$F$8-$K$8))),2)</f>
        <v>0.0</v>
      </c>
      <c r="Q8" s="12">
        <f>ROUND(MAX(0,$M$8+$N$8-$O$8-$P$8),2)</f>
        <v>7314.35</v>
      </c>
      <c r="R8" s="12">
        <f>$V$7</f>
        <v>8853.17</v>
      </c>
      <c r="S8" s="12">
        <f>ROUND(IF($R$8&lt;=0,0,$R$8*AutoLoanAPR/12),2)</f>
        <v>50.91</v>
      </c>
      <c r="T8" s="12">
        <f>ROUND(IF($R$8&lt;=0,0,MIN(AutoLoanMinPayment,$R$8+$S$8)),2)</f>
        <v>269.0</v>
      </c>
      <c r="U8" s="12">
        <f>ROUND(IF($R$8&lt;=0,0,MIN(MAX(0,$R$8+$S$8-$T$8),MAX(0,$AB$8-$F$8-$K$8-$P$8))),2)</f>
        <v>0.0</v>
      </c>
      <c r="V8" s="12">
        <f>ROUND(MAX(0,$R$8+$S$8-$T$8-$U$8),2)</f>
        <v>8635.08</v>
      </c>
      <c r="W8" s="12">
        <f>$AA$7</f>
        <v>560.0</v>
      </c>
      <c r="X8" s="12">
        <f>ROUND(IF($W$8&lt;=0,0,$W$8*MedicalPlanAPR/12),2)</f>
        <v>0.0</v>
      </c>
      <c r="Y8" s="12">
        <f>ROUND(IF($W$8&lt;=0,0,MIN(MedicalPlanMinPayment,$W$8+$X$8)),2)</f>
        <v>30.0</v>
      </c>
      <c r="Z8" s="12">
        <f>ROUND(IF($W$8&lt;=0,0,MIN(MAX(0,$W$8+$X$8-$Y$8),MAX(0,$AB$8-$F$8-$K$8-$P$8-$U$8))),2)</f>
        <v>0.0</v>
      </c>
      <c r="AA8" s="12">
        <f>ROUND(MAX(0,$W$8+$X$8-$Y$8-$Z$8),2)</f>
        <v>530.0</v>
      </c>
      <c r="AB8" s="12">
        <f>ROUND(ExtraPayment+IF($G$7&lt;=0,VisaCardMinPayment,0)+IF($L$7&lt;=0,MastercardMinPayment,0)+IF($Q$7&lt;=0,PersonalLoanMinPayment,0)+IF($V$7&lt;=0,AutoLoanMinPayment,0)+IF($AA$7&lt;=0,MedicalPlanMinPayment,0),2)</f>
        <v>250.0</v>
      </c>
      <c r="AC8" s="12">
        <f>ROUND(SUM($D$8,$I$8,$N$8,$S$8,$X$8),2)</f>
        <v>413.57</v>
      </c>
      <c r="AD8" s="12">
        <f>ROUND(SUM($G$8,$L$8,$Q$8,$V$8,$AA$8),2)</f>
        <v>29244.95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6937.75</v>
      </c>
      <c r="D9" s="12">
        <f>ROUND(IF($C$9&lt;=0,0,$C$9*VisaCardAPR/12),2)</f>
        <v>161.82</v>
      </c>
      <c r="E9" s="12">
        <f>ROUND(IF($C$9&lt;=0,0,MIN(VisaCardMinPayment,$C$9+$D$9)),2)</f>
        <v>246.0</v>
      </c>
      <c r="F9" s="12">
        <f>ROUND(IF($C$9&lt;=0,0,MIN(MAX(0,$C$9+$D$9-$E$9),$AB$9)),2)</f>
        <v>250.0</v>
      </c>
      <c r="G9" s="12">
        <f>ROUND(MAX(0,$C$9+$D$9-$E$9-$F$9),2)</f>
        <v>6603.57</v>
      </c>
      <c r="H9" s="12">
        <f>$L$8</f>
        <v>5827.77</v>
      </c>
      <c r="I9" s="12">
        <f>ROUND(IF($H$9&lt;=0,0,$H$9*MastercardAPR/12),2)</f>
        <v>111.65</v>
      </c>
      <c r="J9" s="12">
        <f>ROUND(IF($H$9&lt;=0,0,MIN(MastercardMinPayment,$H$9+$I$9)),2)</f>
        <v>183.0</v>
      </c>
      <c r="K9" s="12">
        <f>ROUND(IF($H$9&lt;=0,0,MIN(MAX(0,$H$9+$I$9-$J$9),MAX(0,$AB$9-$F$9))),2)</f>
        <v>0.0</v>
      </c>
      <c r="L9" s="12">
        <f>ROUND(MAX(0,$H$9+$I$9-$J$9-$K$9),2)</f>
        <v>5756.42</v>
      </c>
      <c r="M9" s="12">
        <f>$Q$8</f>
        <v>7314.35</v>
      </c>
      <c r="N9" s="12">
        <f>ROUND(IF($M$9&lt;=0,0,$M$9*PersonalLoanAPR/12),2)</f>
        <v>78.63</v>
      </c>
      <c r="O9" s="12">
        <f>ROUND(IF($M$9&lt;=0,0,MIN(PersonalLoanMinPayment,$M$9+$N$9)),2)</f>
        <v>229.0</v>
      </c>
      <c r="P9" s="12">
        <f>ROUND(IF($M$9&lt;=0,0,MIN(MAX(0,$M$9+$N$9-$O$9),MAX(0,$AB$9-$F$9-$K$9))),2)</f>
        <v>0.0</v>
      </c>
      <c r="Q9" s="12">
        <f>ROUND(MAX(0,$M$9+$N$9-$O$9-$P$9),2)</f>
        <v>7163.98</v>
      </c>
      <c r="R9" s="12">
        <f>$V$8</f>
        <v>8635.08</v>
      </c>
      <c r="S9" s="12">
        <f>ROUND(IF($R$9&lt;=0,0,$R$9*AutoLoanAPR/12),2)</f>
        <v>49.65</v>
      </c>
      <c r="T9" s="12">
        <f>ROUND(IF($R$9&lt;=0,0,MIN(AutoLoanMinPayment,$R$9+$S$9)),2)</f>
        <v>269.0</v>
      </c>
      <c r="U9" s="12">
        <f>ROUND(IF($R$9&lt;=0,0,MIN(MAX(0,$R$9+$S$9-$T$9),MAX(0,$AB$9-$F$9-$K$9-$P$9))),2)</f>
        <v>0.0</v>
      </c>
      <c r="V9" s="12">
        <f>ROUND(MAX(0,$R$9+$S$9-$T$9-$U$9),2)</f>
        <v>8415.73</v>
      </c>
      <c r="W9" s="12">
        <f>$AA$8</f>
        <v>530.0</v>
      </c>
      <c r="X9" s="12">
        <f>ROUND(IF($W$9&lt;=0,0,$W$9*MedicalPlanAPR/12),2)</f>
        <v>0.0</v>
      </c>
      <c r="Y9" s="12">
        <f>ROUND(IF($W$9&lt;=0,0,MIN(MedicalPlanMinPayment,$W$9+$X$9)),2)</f>
        <v>30.0</v>
      </c>
      <c r="Z9" s="12">
        <f>ROUND(IF($W$9&lt;=0,0,MIN(MAX(0,$W$9+$X$9-$Y$9),MAX(0,$AB$9-$F$9-$K$9-$P$9-$U$9))),2)</f>
        <v>0.0</v>
      </c>
      <c r="AA9" s="12">
        <f>ROUND(MAX(0,$W$9+$X$9-$Y$9-$Z$9),2)</f>
        <v>500.0</v>
      </c>
      <c r="AB9" s="12">
        <f>ROUND(ExtraPayment+IF($G$8&lt;=0,VisaCardMinPayment,0)+IF($L$8&lt;=0,MastercardMinPayment,0)+IF($Q$8&lt;=0,PersonalLoanMinPayment,0)+IF($V$8&lt;=0,AutoLoanMinPayment,0)+IF($AA$8&lt;=0,MedicalPlanMinPayment,0),2)</f>
        <v>250.0</v>
      </c>
      <c r="AC9" s="12">
        <f>ROUND(SUM($D$9,$I$9,$N$9,$S$9,$X$9),2)</f>
        <v>401.75</v>
      </c>
      <c r="AD9" s="12">
        <f>ROUND(SUM($G$9,$L$9,$Q$9,$V$9,$AA$9),2)</f>
        <v>28439.7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6603.57</v>
      </c>
      <c r="D10" s="12">
        <f>ROUND(IF($C$10&lt;=0,0,$C$10*VisaCardAPR/12),2)</f>
        <v>154.03</v>
      </c>
      <c r="E10" s="12">
        <f>ROUND(IF($C$10&lt;=0,0,MIN(VisaCardMinPayment,$C$10+$D$10)),2)</f>
        <v>246.0</v>
      </c>
      <c r="F10" s="12">
        <f>ROUND(IF($C$10&lt;=0,0,MIN(MAX(0,$C$10+$D$10-$E$10),$AB$10)),2)</f>
        <v>250.0</v>
      </c>
      <c r="G10" s="12">
        <f>ROUND(MAX(0,$C$10+$D$10-$E$10-$F$10),2)</f>
        <v>6261.6</v>
      </c>
      <c r="H10" s="12">
        <f>$L$9</f>
        <v>5756.42</v>
      </c>
      <c r="I10" s="12">
        <f>ROUND(IF($H$10&lt;=0,0,$H$10*MastercardAPR/12),2)</f>
        <v>110.28</v>
      </c>
      <c r="J10" s="12">
        <f>ROUND(IF($H$10&lt;=0,0,MIN(MastercardMinPayment,$H$10+$I$10)),2)</f>
        <v>183.0</v>
      </c>
      <c r="K10" s="12">
        <f>ROUND(IF($H$10&lt;=0,0,MIN(MAX(0,$H$10+$I$10-$J$10),MAX(0,$AB$10-$F$10))),2)</f>
        <v>0.0</v>
      </c>
      <c r="L10" s="12">
        <f>ROUND(MAX(0,$H$10+$I$10-$J$10-$K$10),2)</f>
        <v>5683.7</v>
      </c>
      <c r="M10" s="12">
        <f>$Q$9</f>
        <v>7163.98</v>
      </c>
      <c r="N10" s="12">
        <f>ROUND(IF($M$10&lt;=0,0,$M$10*PersonalLoanAPR/12),2)</f>
        <v>77.01</v>
      </c>
      <c r="O10" s="12">
        <f>ROUND(IF($M$10&lt;=0,0,MIN(PersonalLoanMinPayment,$M$10+$N$10)),2)</f>
        <v>229.0</v>
      </c>
      <c r="P10" s="12">
        <f>ROUND(IF($M$10&lt;=0,0,MIN(MAX(0,$M$10+$N$10-$O$10),MAX(0,$AB$10-$F$10-$K$10))),2)</f>
        <v>0.0</v>
      </c>
      <c r="Q10" s="12">
        <f>ROUND(MAX(0,$M$10+$N$10-$O$10-$P$10),2)</f>
        <v>7011.99</v>
      </c>
      <c r="R10" s="12">
        <f>$V$9</f>
        <v>8415.73</v>
      </c>
      <c r="S10" s="12">
        <f>ROUND(IF($R$10&lt;=0,0,$R$10*AutoLoanAPR/12),2)</f>
        <v>48.39</v>
      </c>
      <c r="T10" s="12">
        <f>ROUND(IF($R$10&lt;=0,0,MIN(AutoLoanMinPayment,$R$10+$S$10)),2)</f>
        <v>269.0</v>
      </c>
      <c r="U10" s="12">
        <f>ROUND(IF($R$10&lt;=0,0,MIN(MAX(0,$R$10+$S$10-$T$10),MAX(0,$AB$10-$F$10-$K$10-$P$10))),2)</f>
        <v>0.0</v>
      </c>
      <c r="V10" s="12">
        <f>ROUND(MAX(0,$R$10+$S$10-$T$10-$U$10),2)</f>
        <v>8195.12</v>
      </c>
      <c r="W10" s="12">
        <f>$AA$9</f>
        <v>500.0</v>
      </c>
      <c r="X10" s="12">
        <f>ROUND(IF($W$10&lt;=0,0,$W$10*MedicalPlanAPR/12),2)</f>
        <v>0.0</v>
      </c>
      <c r="Y10" s="12">
        <f>ROUND(IF($W$10&lt;=0,0,MIN(MedicalPlanMinPayment,$W$10+$X$10)),2)</f>
        <v>30.0</v>
      </c>
      <c r="Z10" s="12">
        <f>ROUND(IF($W$10&lt;=0,0,MIN(MAX(0,$W$10+$X$10-$Y$10),MAX(0,$AB$10-$F$10-$K$10-$P$10-$U$10))),2)</f>
        <v>0.0</v>
      </c>
      <c r="AA10" s="12">
        <f>ROUND(MAX(0,$W$10+$X$10-$Y$10-$Z$10),2)</f>
        <v>470.0</v>
      </c>
      <c r="AB10" s="12">
        <f>ROUND(ExtraPayment+IF($G$9&lt;=0,VisaCardMinPayment,0)+IF($L$9&lt;=0,MastercardMinPayment,0)+IF($Q$9&lt;=0,PersonalLoanMinPayment,0)+IF($V$9&lt;=0,AutoLoanMinPayment,0)+IF($AA$9&lt;=0,MedicalPlanMinPayment,0),2)</f>
        <v>250.0</v>
      </c>
      <c r="AC10" s="12">
        <f>ROUND(SUM($D$10,$I$10,$N$10,$S$10,$X$10),2)</f>
        <v>389.71</v>
      </c>
      <c r="AD10" s="12">
        <f>ROUND(SUM($G$10,$L$10,$Q$10,$V$10,$AA$10),2)</f>
        <v>27622.41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6261.6</v>
      </c>
      <c r="D11" s="12">
        <f>ROUND(IF($C$11&lt;=0,0,$C$11*VisaCardAPR/12),2)</f>
        <v>146.05</v>
      </c>
      <c r="E11" s="12">
        <f>ROUND(IF($C$11&lt;=0,0,MIN(VisaCardMinPayment,$C$11+$D$11)),2)</f>
        <v>246.0</v>
      </c>
      <c r="F11" s="12">
        <f>ROUND(IF($C$11&lt;=0,0,MIN(MAX(0,$C$11+$D$11-$E$11),$AB$11)),2)</f>
        <v>250.0</v>
      </c>
      <c r="G11" s="12">
        <f>ROUND(MAX(0,$C$11+$D$11-$E$11-$F$11),2)</f>
        <v>5911.65</v>
      </c>
      <c r="H11" s="12">
        <f>$L$10</f>
        <v>5683.7</v>
      </c>
      <c r="I11" s="12">
        <f>ROUND(IF($H$11&lt;=0,0,$H$11*MastercardAPR/12),2)</f>
        <v>108.89</v>
      </c>
      <c r="J11" s="12">
        <f>ROUND(IF($H$11&lt;=0,0,MIN(MastercardMinPayment,$H$11+$I$11)),2)</f>
        <v>183.0</v>
      </c>
      <c r="K11" s="12">
        <f>ROUND(IF($H$11&lt;=0,0,MIN(MAX(0,$H$11+$I$11-$J$11),MAX(0,$AB$11-$F$11))),2)</f>
        <v>0.0</v>
      </c>
      <c r="L11" s="12">
        <f>ROUND(MAX(0,$H$11+$I$11-$J$11-$K$11),2)</f>
        <v>5609.59</v>
      </c>
      <c r="M11" s="12">
        <f>$Q$10</f>
        <v>7011.99</v>
      </c>
      <c r="N11" s="12">
        <f>ROUND(IF($M$11&lt;=0,0,$M$11*PersonalLoanAPR/12),2)</f>
        <v>75.38</v>
      </c>
      <c r="O11" s="12">
        <f>ROUND(IF($M$11&lt;=0,0,MIN(PersonalLoanMinPayment,$M$11+$N$11)),2)</f>
        <v>229.0</v>
      </c>
      <c r="P11" s="12">
        <f>ROUND(IF($M$11&lt;=0,0,MIN(MAX(0,$M$11+$N$11-$O$11),MAX(0,$AB$11-$F$11-$K$11))),2)</f>
        <v>0.0</v>
      </c>
      <c r="Q11" s="12">
        <f>ROUND(MAX(0,$M$11+$N$11-$O$11-$P$11),2)</f>
        <v>6858.37</v>
      </c>
      <c r="R11" s="12">
        <f>$V$10</f>
        <v>8195.12</v>
      </c>
      <c r="S11" s="12">
        <f>ROUND(IF($R$11&lt;=0,0,$R$11*AutoLoanAPR/12),2)</f>
        <v>47.12</v>
      </c>
      <c r="T11" s="12">
        <f>ROUND(IF($R$11&lt;=0,0,MIN(AutoLoanMinPayment,$R$11+$S$11)),2)</f>
        <v>269.0</v>
      </c>
      <c r="U11" s="12">
        <f>ROUND(IF($R$11&lt;=0,0,MIN(MAX(0,$R$11+$S$11-$T$11),MAX(0,$AB$11-$F$11-$K$11-$P$11))),2)</f>
        <v>0.0</v>
      </c>
      <c r="V11" s="12">
        <f>ROUND(MAX(0,$R$11+$S$11-$T$11-$U$11),2)</f>
        <v>7973.24</v>
      </c>
      <c r="W11" s="12">
        <f>$AA$10</f>
        <v>470.0</v>
      </c>
      <c r="X11" s="12">
        <f>ROUND(IF($W$11&lt;=0,0,$W$11*MedicalPlanAPR/12),2)</f>
        <v>0.0</v>
      </c>
      <c r="Y11" s="12">
        <f>ROUND(IF($W$11&lt;=0,0,MIN(MedicalPlanMinPayment,$W$11+$X$11)),2)</f>
        <v>30.0</v>
      </c>
      <c r="Z11" s="12">
        <f>ROUND(IF($W$11&lt;=0,0,MIN(MAX(0,$W$11+$X$11-$Y$11),MAX(0,$AB$11-$F$11-$K$11-$P$11-$U$11))),2)</f>
        <v>0.0</v>
      </c>
      <c r="AA11" s="12">
        <f>ROUND(MAX(0,$W$11+$X$11-$Y$11-$Z$11),2)</f>
        <v>440.0</v>
      </c>
      <c r="AB11" s="12">
        <f>ROUND(ExtraPayment+IF($G$10&lt;=0,VisaCardMinPayment,0)+IF($L$10&lt;=0,MastercardMinPayment,0)+IF($Q$10&lt;=0,PersonalLoanMinPayment,0)+IF($V$10&lt;=0,AutoLoanMinPayment,0)+IF($AA$10&lt;=0,MedicalPlanMinPayment,0),2)</f>
        <v>250.0</v>
      </c>
      <c r="AC11" s="12">
        <f>ROUND(SUM($D$11,$I$11,$N$11,$S$11,$X$11),2)</f>
        <v>377.44</v>
      </c>
      <c r="AD11" s="12">
        <f>ROUND(SUM($G$11,$L$11,$Q$11,$V$11,$AA$11),2)</f>
        <v>26792.85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5911.65</v>
      </c>
      <c r="D12" s="12">
        <f>ROUND(IF($C$12&lt;=0,0,$C$12*VisaCardAPR/12),2)</f>
        <v>137.89</v>
      </c>
      <c r="E12" s="12">
        <f>ROUND(IF($C$12&lt;=0,0,MIN(VisaCardMinPayment,$C$12+$D$12)),2)</f>
        <v>246.0</v>
      </c>
      <c r="F12" s="12">
        <f>ROUND(IF($C$12&lt;=0,0,MIN(MAX(0,$C$12+$D$12-$E$12),$AB$12)),2)</f>
        <v>250.0</v>
      </c>
      <c r="G12" s="12">
        <f>ROUND(MAX(0,$C$12+$D$12-$E$12-$F$12),2)</f>
        <v>5553.54</v>
      </c>
      <c r="H12" s="12">
        <f>$L$11</f>
        <v>5609.59</v>
      </c>
      <c r="I12" s="12">
        <f>ROUND(IF($H$12&lt;=0,0,$H$12*MastercardAPR/12),2)</f>
        <v>107.47</v>
      </c>
      <c r="J12" s="12">
        <f>ROUND(IF($H$12&lt;=0,0,MIN(MastercardMinPayment,$H$12+$I$12)),2)</f>
        <v>183.0</v>
      </c>
      <c r="K12" s="12">
        <f>ROUND(IF($H$12&lt;=0,0,MIN(MAX(0,$H$12+$I$12-$J$12),MAX(0,$AB$12-$F$12))),2)</f>
        <v>0.0</v>
      </c>
      <c r="L12" s="12">
        <f>ROUND(MAX(0,$H$12+$I$12-$J$12-$K$12),2)</f>
        <v>5534.06</v>
      </c>
      <c r="M12" s="12">
        <f>$Q$11</f>
        <v>6858.37</v>
      </c>
      <c r="N12" s="12">
        <f>ROUND(IF($M$12&lt;=0,0,$M$12*PersonalLoanAPR/12),2)</f>
        <v>73.73</v>
      </c>
      <c r="O12" s="12">
        <f>ROUND(IF($M$12&lt;=0,0,MIN(PersonalLoanMinPayment,$M$12+$N$12)),2)</f>
        <v>229.0</v>
      </c>
      <c r="P12" s="12">
        <f>ROUND(IF($M$12&lt;=0,0,MIN(MAX(0,$M$12+$N$12-$O$12),MAX(0,$AB$12-$F$12-$K$12))),2)</f>
        <v>0.0</v>
      </c>
      <c r="Q12" s="12">
        <f>ROUND(MAX(0,$M$12+$N$12-$O$12-$P$12),2)</f>
        <v>6703.1</v>
      </c>
      <c r="R12" s="12">
        <f>$V$11</f>
        <v>7973.24</v>
      </c>
      <c r="S12" s="12">
        <f>ROUND(IF($R$12&lt;=0,0,$R$12*AutoLoanAPR/12),2)</f>
        <v>45.85</v>
      </c>
      <c r="T12" s="12">
        <f>ROUND(IF($R$12&lt;=0,0,MIN(AutoLoanMinPayment,$R$12+$S$12)),2)</f>
        <v>269.0</v>
      </c>
      <c r="U12" s="12">
        <f>ROUND(IF($R$12&lt;=0,0,MIN(MAX(0,$R$12+$S$12-$T$12),MAX(0,$AB$12-$F$12-$K$12-$P$12))),2)</f>
        <v>0.0</v>
      </c>
      <c r="V12" s="12">
        <f>ROUND(MAX(0,$R$12+$S$12-$T$12-$U$12),2)</f>
        <v>7750.09</v>
      </c>
      <c r="W12" s="12">
        <f>$AA$11</f>
        <v>440.0</v>
      </c>
      <c r="X12" s="12">
        <f>ROUND(IF($W$12&lt;=0,0,$W$12*MedicalPlanAPR/12),2)</f>
        <v>0.0</v>
      </c>
      <c r="Y12" s="12">
        <f>ROUND(IF($W$12&lt;=0,0,MIN(MedicalPlanMinPayment,$W$12+$X$12)),2)</f>
        <v>30.0</v>
      </c>
      <c r="Z12" s="12">
        <f>ROUND(IF($W$12&lt;=0,0,MIN(MAX(0,$W$12+$X$12-$Y$12),MAX(0,$AB$12-$F$12-$K$12-$P$12-$U$12))),2)</f>
        <v>0.0</v>
      </c>
      <c r="AA12" s="12">
        <f>ROUND(MAX(0,$W$12+$X$12-$Y$12-$Z$12),2)</f>
        <v>410.0</v>
      </c>
      <c r="AB12" s="12">
        <f>ROUND(ExtraPayment+IF($G$11&lt;=0,VisaCardMinPayment,0)+IF($L$11&lt;=0,MastercardMinPayment,0)+IF($Q$11&lt;=0,PersonalLoanMinPayment,0)+IF($V$11&lt;=0,AutoLoanMinPayment,0)+IF($AA$11&lt;=0,MedicalPlanMinPayment,0),2)</f>
        <v>250.0</v>
      </c>
      <c r="AC12" s="12">
        <f>ROUND(SUM($D$12,$I$12,$N$12,$S$12,$X$12),2)</f>
        <v>364.94</v>
      </c>
      <c r="AD12" s="12">
        <f>ROUND(SUM($G$12,$L$12,$Q$12,$V$12,$AA$12),2)</f>
        <v>25950.79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5553.54</v>
      </c>
      <c r="D13" s="12">
        <f>ROUND(IF($C$13&lt;=0,0,$C$13*VisaCardAPR/12),2)</f>
        <v>129.54</v>
      </c>
      <c r="E13" s="12">
        <f>ROUND(IF($C$13&lt;=0,0,MIN(VisaCardMinPayment,$C$13+$D$13)),2)</f>
        <v>246.0</v>
      </c>
      <c r="F13" s="12">
        <f>ROUND(IF($C$13&lt;=0,0,MIN(MAX(0,$C$13+$D$13-$E$13),$AB$13)),2)</f>
        <v>250.0</v>
      </c>
      <c r="G13" s="12">
        <f>ROUND(MAX(0,$C$13+$D$13-$E$13-$F$13),2)</f>
        <v>5187.08</v>
      </c>
      <c r="H13" s="12">
        <f>$L$12</f>
        <v>5534.06</v>
      </c>
      <c r="I13" s="12">
        <f>ROUND(IF($H$13&lt;=0,0,$H$13*MastercardAPR/12),2)</f>
        <v>106.02</v>
      </c>
      <c r="J13" s="12">
        <f>ROUND(IF($H$13&lt;=0,0,MIN(MastercardMinPayment,$H$13+$I$13)),2)</f>
        <v>183.0</v>
      </c>
      <c r="K13" s="12">
        <f>ROUND(IF($H$13&lt;=0,0,MIN(MAX(0,$H$13+$I$13-$J$13),MAX(0,$AB$13-$F$13))),2)</f>
        <v>0.0</v>
      </c>
      <c r="L13" s="12">
        <f>ROUND(MAX(0,$H$13+$I$13-$J$13-$K$13),2)</f>
        <v>5457.08</v>
      </c>
      <c r="M13" s="12">
        <f>$Q$12</f>
        <v>6703.1</v>
      </c>
      <c r="N13" s="12">
        <f>ROUND(IF($M$13&lt;=0,0,$M$13*PersonalLoanAPR/12),2)</f>
        <v>72.06</v>
      </c>
      <c r="O13" s="12">
        <f>ROUND(IF($M$13&lt;=0,0,MIN(PersonalLoanMinPayment,$M$13+$N$13)),2)</f>
        <v>229.0</v>
      </c>
      <c r="P13" s="12">
        <f>ROUND(IF($M$13&lt;=0,0,MIN(MAX(0,$M$13+$N$13-$O$13),MAX(0,$AB$13-$F$13-$K$13))),2)</f>
        <v>0.0</v>
      </c>
      <c r="Q13" s="12">
        <f>ROUND(MAX(0,$M$13+$N$13-$O$13-$P$13),2)</f>
        <v>6546.16</v>
      </c>
      <c r="R13" s="12">
        <f>$V$12</f>
        <v>7750.09</v>
      </c>
      <c r="S13" s="12">
        <f>ROUND(IF($R$13&lt;=0,0,$R$13*AutoLoanAPR/12),2)</f>
        <v>44.56</v>
      </c>
      <c r="T13" s="12">
        <f>ROUND(IF($R$13&lt;=0,0,MIN(AutoLoanMinPayment,$R$13+$S$13)),2)</f>
        <v>269.0</v>
      </c>
      <c r="U13" s="12">
        <f>ROUND(IF($R$13&lt;=0,0,MIN(MAX(0,$R$13+$S$13-$T$13),MAX(0,$AB$13-$F$13-$K$13-$P$13))),2)</f>
        <v>0.0</v>
      </c>
      <c r="V13" s="12">
        <f>ROUND(MAX(0,$R$13+$S$13-$T$13-$U$13),2)</f>
        <v>7525.65</v>
      </c>
      <c r="W13" s="12">
        <f>$AA$12</f>
        <v>410.0</v>
      </c>
      <c r="X13" s="12">
        <f>ROUND(IF($W$13&lt;=0,0,$W$13*MedicalPlanAPR/12),2)</f>
        <v>0.0</v>
      </c>
      <c r="Y13" s="12">
        <f>ROUND(IF($W$13&lt;=0,0,MIN(MedicalPlanMinPayment,$W$13+$X$13)),2)</f>
        <v>30.0</v>
      </c>
      <c r="Z13" s="12">
        <f>ROUND(IF($W$13&lt;=0,0,MIN(MAX(0,$W$13+$X$13-$Y$13),MAX(0,$AB$13-$F$13-$K$13-$P$13-$U$13))),2)</f>
        <v>0.0</v>
      </c>
      <c r="AA13" s="12">
        <f>ROUND(MAX(0,$W$13+$X$13-$Y$13-$Z$13),2)</f>
        <v>380.0</v>
      </c>
      <c r="AB13" s="12">
        <f>ROUND(ExtraPayment+IF($G$12&lt;=0,VisaCardMinPayment,0)+IF($L$12&lt;=0,MastercardMinPayment,0)+IF($Q$12&lt;=0,PersonalLoanMinPayment,0)+IF($V$12&lt;=0,AutoLoanMinPayment,0)+IF($AA$12&lt;=0,MedicalPlanMinPayment,0),2)</f>
        <v>250.0</v>
      </c>
      <c r="AC13" s="12">
        <f>ROUND(SUM($D$13,$I$13,$N$13,$S$13,$X$13),2)</f>
        <v>352.18</v>
      </c>
      <c r="AD13" s="12">
        <f>ROUND(SUM($G$13,$L$13,$Q$13,$V$13,$AA$13),2)</f>
        <v>25095.97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5187.08</v>
      </c>
      <c r="D14" s="12">
        <f>ROUND(IF($C$14&lt;=0,0,$C$14*VisaCardAPR/12),2)</f>
        <v>120.99</v>
      </c>
      <c r="E14" s="12">
        <f>ROUND(IF($C$14&lt;=0,0,MIN(VisaCardMinPayment,$C$14+$D$14)),2)</f>
        <v>246.0</v>
      </c>
      <c r="F14" s="12">
        <f>ROUND(IF($C$14&lt;=0,0,MIN(MAX(0,$C$14+$D$14-$E$14),$AB$14)),2)</f>
        <v>250.0</v>
      </c>
      <c r="G14" s="12">
        <f>ROUND(MAX(0,$C$14+$D$14-$E$14-$F$14),2)</f>
        <v>4812.07</v>
      </c>
      <c r="H14" s="12">
        <f>$L$13</f>
        <v>5457.08</v>
      </c>
      <c r="I14" s="12">
        <f>ROUND(IF($H$14&lt;=0,0,$H$14*MastercardAPR/12),2)</f>
        <v>104.55</v>
      </c>
      <c r="J14" s="12">
        <f>ROUND(IF($H$14&lt;=0,0,MIN(MastercardMinPayment,$H$14+$I$14)),2)</f>
        <v>183.0</v>
      </c>
      <c r="K14" s="12">
        <f>ROUND(IF($H$14&lt;=0,0,MIN(MAX(0,$H$14+$I$14-$J$14),MAX(0,$AB$14-$F$14))),2)</f>
        <v>0.0</v>
      </c>
      <c r="L14" s="12">
        <f>ROUND(MAX(0,$H$14+$I$14-$J$14-$K$14),2)</f>
        <v>5378.63</v>
      </c>
      <c r="M14" s="12">
        <f>$Q$13</f>
        <v>6546.16</v>
      </c>
      <c r="N14" s="12">
        <f>ROUND(IF($M$14&lt;=0,0,$M$14*PersonalLoanAPR/12),2)</f>
        <v>70.37</v>
      </c>
      <c r="O14" s="12">
        <f>ROUND(IF($M$14&lt;=0,0,MIN(PersonalLoanMinPayment,$M$14+$N$14)),2)</f>
        <v>229.0</v>
      </c>
      <c r="P14" s="12">
        <f>ROUND(IF($M$14&lt;=0,0,MIN(MAX(0,$M$14+$N$14-$O$14),MAX(0,$AB$14-$F$14-$K$14))),2)</f>
        <v>0.0</v>
      </c>
      <c r="Q14" s="12">
        <f>ROUND(MAX(0,$M$14+$N$14-$O$14-$P$14),2)</f>
        <v>6387.53</v>
      </c>
      <c r="R14" s="12">
        <f>$V$13</f>
        <v>7525.65</v>
      </c>
      <c r="S14" s="12">
        <f>ROUND(IF($R$14&lt;=0,0,$R$14*AutoLoanAPR/12),2)</f>
        <v>43.27</v>
      </c>
      <c r="T14" s="12">
        <f>ROUND(IF($R$14&lt;=0,0,MIN(AutoLoanMinPayment,$R$14+$S$14)),2)</f>
        <v>269.0</v>
      </c>
      <c r="U14" s="12">
        <f>ROUND(IF($R$14&lt;=0,0,MIN(MAX(0,$R$14+$S$14-$T$14),MAX(0,$AB$14-$F$14-$K$14-$P$14))),2)</f>
        <v>0.0</v>
      </c>
      <c r="V14" s="12">
        <f>ROUND(MAX(0,$R$14+$S$14-$T$14-$U$14),2)</f>
        <v>7299.92</v>
      </c>
      <c r="W14" s="12">
        <f>$AA$13</f>
        <v>380.0</v>
      </c>
      <c r="X14" s="12">
        <f>ROUND(IF($W$14&lt;=0,0,$W$14*MedicalPlanAPR/12),2)</f>
        <v>0.0</v>
      </c>
      <c r="Y14" s="12">
        <f>ROUND(IF($W$14&lt;=0,0,MIN(MedicalPlanMinPayment,$W$14+$X$14)),2)</f>
        <v>30.0</v>
      </c>
      <c r="Z14" s="12">
        <f>ROUND(IF($W$14&lt;=0,0,MIN(MAX(0,$W$14+$X$14-$Y$14),MAX(0,$AB$14-$F$14-$K$14-$P$14-$U$14))),2)</f>
        <v>0.0</v>
      </c>
      <c r="AA14" s="12">
        <f>ROUND(MAX(0,$W$14+$X$14-$Y$14-$Z$14),2)</f>
        <v>350.0</v>
      </c>
      <c r="AB14" s="12">
        <f>ROUND(ExtraPayment+IF($G$13&lt;=0,VisaCardMinPayment,0)+IF($L$13&lt;=0,MastercardMinPayment,0)+IF($Q$13&lt;=0,PersonalLoanMinPayment,0)+IF($V$13&lt;=0,AutoLoanMinPayment,0)+IF($AA$13&lt;=0,MedicalPlanMinPayment,0),2)</f>
        <v>250.0</v>
      </c>
      <c r="AC14" s="12">
        <f>ROUND(SUM($D$14,$I$14,$N$14,$S$14,$X$14),2)</f>
        <v>339.18</v>
      </c>
      <c r="AD14" s="12">
        <f>ROUND(SUM($G$14,$L$14,$Q$14,$V$14,$AA$14),2)</f>
        <v>24228.15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4812.07</v>
      </c>
      <c r="D15" s="12">
        <f>ROUND(IF($C$15&lt;=0,0,$C$15*VisaCardAPR/12),2)</f>
        <v>112.24</v>
      </c>
      <c r="E15" s="12">
        <f>ROUND(IF($C$15&lt;=0,0,MIN(VisaCardMinPayment,$C$15+$D$15)),2)</f>
        <v>246.0</v>
      </c>
      <c r="F15" s="12">
        <f>ROUND(IF($C$15&lt;=0,0,MIN(MAX(0,$C$15+$D$15-$E$15),$AB$15)),2)</f>
        <v>250.0</v>
      </c>
      <c r="G15" s="12">
        <f>ROUND(MAX(0,$C$15+$D$15-$E$15-$F$15),2)</f>
        <v>4428.31</v>
      </c>
      <c r="H15" s="12">
        <f>$L$14</f>
        <v>5378.63</v>
      </c>
      <c r="I15" s="12">
        <f>ROUND(IF($H$15&lt;=0,0,$H$15*MastercardAPR/12),2)</f>
        <v>103.05</v>
      </c>
      <c r="J15" s="12">
        <f>ROUND(IF($H$15&lt;=0,0,MIN(MastercardMinPayment,$H$15+$I$15)),2)</f>
        <v>183.0</v>
      </c>
      <c r="K15" s="12">
        <f>ROUND(IF($H$15&lt;=0,0,MIN(MAX(0,$H$15+$I$15-$J$15),MAX(0,$AB$15-$F$15))),2)</f>
        <v>0.0</v>
      </c>
      <c r="L15" s="12">
        <f>ROUND(MAX(0,$H$15+$I$15-$J$15-$K$15),2)</f>
        <v>5298.68</v>
      </c>
      <c r="M15" s="12">
        <f>$Q$14</f>
        <v>6387.53</v>
      </c>
      <c r="N15" s="12">
        <f>ROUND(IF($M$15&lt;=0,0,$M$15*PersonalLoanAPR/12),2)</f>
        <v>68.67</v>
      </c>
      <c r="O15" s="12">
        <f>ROUND(IF($M$15&lt;=0,0,MIN(PersonalLoanMinPayment,$M$15+$N$15)),2)</f>
        <v>229.0</v>
      </c>
      <c r="P15" s="12">
        <f>ROUND(IF($M$15&lt;=0,0,MIN(MAX(0,$M$15+$N$15-$O$15),MAX(0,$AB$15-$F$15-$K$15))),2)</f>
        <v>0.0</v>
      </c>
      <c r="Q15" s="12">
        <f>ROUND(MAX(0,$M$15+$N$15-$O$15-$P$15),2)</f>
        <v>6227.2</v>
      </c>
      <c r="R15" s="12">
        <f>$V$14</f>
        <v>7299.92</v>
      </c>
      <c r="S15" s="12">
        <f>ROUND(IF($R$15&lt;=0,0,$R$15*AutoLoanAPR/12),2)</f>
        <v>41.97</v>
      </c>
      <c r="T15" s="12">
        <f>ROUND(IF($R$15&lt;=0,0,MIN(AutoLoanMinPayment,$R$15+$S$15)),2)</f>
        <v>269.0</v>
      </c>
      <c r="U15" s="12">
        <f>ROUND(IF($R$15&lt;=0,0,MIN(MAX(0,$R$15+$S$15-$T$15),MAX(0,$AB$15-$F$15-$K$15-$P$15))),2)</f>
        <v>0.0</v>
      </c>
      <c r="V15" s="12">
        <f>ROUND(MAX(0,$R$15+$S$15-$T$15-$U$15),2)</f>
        <v>7072.89</v>
      </c>
      <c r="W15" s="12">
        <f>$AA$14</f>
        <v>350.0</v>
      </c>
      <c r="X15" s="12">
        <f>ROUND(IF($W$15&lt;=0,0,$W$15*MedicalPlanAPR/12),2)</f>
        <v>0.0</v>
      </c>
      <c r="Y15" s="12">
        <f>ROUND(IF($W$15&lt;=0,0,MIN(MedicalPlanMinPayment,$W$15+$X$15)),2)</f>
        <v>30.0</v>
      </c>
      <c r="Z15" s="12">
        <f>ROUND(IF($W$15&lt;=0,0,MIN(MAX(0,$W$15+$X$15-$Y$15),MAX(0,$AB$15-$F$15-$K$15-$P$15-$U$15))),2)</f>
        <v>0.0</v>
      </c>
      <c r="AA15" s="12">
        <f>ROUND(MAX(0,$W$15+$X$15-$Y$15-$Z$15),2)</f>
        <v>320.0</v>
      </c>
      <c r="AB15" s="12">
        <f>ROUND(ExtraPayment+IF($G$14&lt;=0,VisaCardMinPayment,0)+IF($L$14&lt;=0,MastercardMinPayment,0)+IF($Q$14&lt;=0,PersonalLoanMinPayment,0)+IF($V$14&lt;=0,AutoLoanMinPayment,0)+IF($AA$14&lt;=0,MedicalPlanMinPayment,0),2)</f>
        <v>250.0</v>
      </c>
      <c r="AC15" s="12">
        <f>ROUND(SUM($D$15,$I$15,$N$15,$S$15,$X$15),2)</f>
        <v>325.93</v>
      </c>
      <c r="AD15" s="12">
        <f>ROUND(SUM($G$15,$L$15,$Q$15,$V$15,$AA$15),2)</f>
        <v>23347.08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4428.31</v>
      </c>
      <c r="D16" s="12">
        <f>ROUND(IF($C$16&lt;=0,0,$C$16*VisaCardAPR/12),2)</f>
        <v>103.29</v>
      </c>
      <c r="E16" s="12">
        <f>ROUND(IF($C$16&lt;=0,0,MIN(VisaCardMinPayment,$C$16+$D$16)),2)</f>
        <v>246.0</v>
      </c>
      <c r="F16" s="12">
        <f>ROUND(IF($C$16&lt;=0,0,MIN(MAX(0,$C$16+$D$16-$E$16),$AB$16)),2)</f>
        <v>250.0</v>
      </c>
      <c r="G16" s="12">
        <f>ROUND(MAX(0,$C$16+$D$16-$E$16-$F$16),2)</f>
        <v>4035.6</v>
      </c>
      <c r="H16" s="12">
        <f>$L$15</f>
        <v>5298.68</v>
      </c>
      <c r="I16" s="12">
        <f>ROUND(IF($H$16&lt;=0,0,$H$16*MastercardAPR/12),2)</f>
        <v>101.51</v>
      </c>
      <c r="J16" s="12">
        <f>ROUND(IF($H$16&lt;=0,0,MIN(MastercardMinPayment,$H$16+$I$16)),2)</f>
        <v>183.0</v>
      </c>
      <c r="K16" s="12">
        <f>ROUND(IF($H$16&lt;=0,0,MIN(MAX(0,$H$16+$I$16-$J$16),MAX(0,$AB$16-$F$16))),2)</f>
        <v>0.0</v>
      </c>
      <c r="L16" s="12">
        <f>ROUND(MAX(0,$H$16+$I$16-$J$16-$K$16),2)</f>
        <v>5217.19</v>
      </c>
      <c r="M16" s="12">
        <f>$Q$15</f>
        <v>6227.2</v>
      </c>
      <c r="N16" s="12">
        <f>ROUND(IF($M$16&lt;=0,0,$M$16*PersonalLoanAPR/12),2)</f>
        <v>66.94</v>
      </c>
      <c r="O16" s="12">
        <f>ROUND(IF($M$16&lt;=0,0,MIN(PersonalLoanMinPayment,$M$16+$N$16)),2)</f>
        <v>229.0</v>
      </c>
      <c r="P16" s="12">
        <f>ROUND(IF($M$16&lt;=0,0,MIN(MAX(0,$M$16+$N$16-$O$16),MAX(0,$AB$16-$F$16-$K$16))),2)</f>
        <v>0.0</v>
      </c>
      <c r="Q16" s="12">
        <f>ROUND(MAX(0,$M$16+$N$16-$O$16-$P$16),2)</f>
        <v>6065.14</v>
      </c>
      <c r="R16" s="12">
        <f>$V$15</f>
        <v>7072.89</v>
      </c>
      <c r="S16" s="12">
        <f>ROUND(IF($R$16&lt;=0,0,$R$16*AutoLoanAPR/12),2)</f>
        <v>40.67</v>
      </c>
      <c r="T16" s="12">
        <f>ROUND(IF($R$16&lt;=0,0,MIN(AutoLoanMinPayment,$R$16+$S$16)),2)</f>
        <v>269.0</v>
      </c>
      <c r="U16" s="12">
        <f>ROUND(IF($R$16&lt;=0,0,MIN(MAX(0,$R$16+$S$16-$T$16),MAX(0,$AB$16-$F$16-$K$16-$P$16))),2)</f>
        <v>0.0</v>
      </c>
      <c r="V16" s="12">
        <f>ROUND(MAX(0,$R$16+$S$16-$T$16-$U$16),2)</f>
        <v>6844.56</v>
      </c>
      <c r="W16" s="12">
        <f>$AA$15</f>
        <v>320.0</v>
      </c>
      <c r="X16" s="12">
        <f>ROUND(IF($W$16&lt;=0,0,$W$16*MedicalPlanAPR/12),2)</f>
        <v>0.0</v>
      </c>
      <c r="Y16" s="12">
        <f>ROUND(IF($W$16&lt;=0,0,MIN(MedicalPlanMinPayment,$W$16+$X$16)),2)</f>
        <v>30.0</v>
      </c>
      <c r="Z16" s="12">
        <f>ROUND(IF($W$16&lt;=0,0,MIN(MAX(0,$W$16+$X$16-$Y$16),MAX(0,$AB$16-$F$16-$K$16-$P$16-$U$16))),2)</f>
        <v>0.0</v>
      </c>
      <c r="AA16" s="12">
        <f>ROUND(MAX(0,$W$16+$X$16-$Y$16-$Z$16),2)</f>
        <v>290.0</v>
      </c>
      <c r="AB16" s="12">
        <f>ROUND(ExtraPayment+IF($G$15&lt;=0,VisaCardMinPayment,0)+IF($L$15&lt;=0,MastercardMinPayment,0)+IF($Q$15&lt;=0,PersonalLoanMinPayment,0)+IF($V$15&lt;=0,AutoLoanMinPayment,0)+IF($AA$15&lt;=0,MedicalPlanMinPayment,0),2)</f>
        <v>250.0</v>
      </c>
      <c r="AC16" s="12">
        <f>ROUND(SUM($D$16,$I$16,$N$16,$S$16,$X$16),2)</f>
        <v>312.41</v>
      </c>
      <c r="AD16" s="12">
        <f>ROUND(SUM($G$16,$L$16,$Q$16,$V$16,$AA$16),2)</f>
        <v>22452.49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4035.6</v>
      </c>
      <c r="D17" s="12">
        <f>ROUND(IF($C$17&lt;=0,0,$C$17*VisaCardAPR/12),2)</f>
        <v>94.13</v>
      </c>
      <c r="E17" s="12">
        <f>ROUND(IF($C$17&lt;=0,0,MIN(VisaCardMinPayment,$C$17+$D$17)),2)</f>
        <v>246.0</v>
      </c>
      <c r="F17" s="12">
        <f>ROUND(IF($C$17&lt;=0,0,MIN(MAX(0,$C$17+$D$17-$E$17),$AB$17)),2)</f>
        <v>250.0</v>
      </c>
      <c r="G17" s="12">
        <f>ROUND(MAX(0,$C$17+$D$17-$E$17-$F$17),2)</f>
        <v>3633.73</v>
      </c>
      <c r="H17" s="12">
        <f>$L$16</f>
        <v>5217.19</v>
      </c>
      <c r="I17" s="12">
        <f>ROUND(IF($H$17&lt;=0,0,$H$17*MastercardAPR/12),2)</f>
        <v>99.95</v>
      </c>
      <c r="J17" s="12">
        <f>ROUND(IF($H$17&lt;=0,0,MIN(MastercardMinPayment,$H$17+$I$17)),2)</f>
        <v>183.0</v>
      </c>
      <c r="K17" s="12">
        <f>ROUND(IF($H$17&lt;=0,0,MIN(MAX(0,$H$17+$I$17-$J$17),MAX(0,$AB$17-$F$17))),2)</f>
        <v>0.0</v>
      </c>
      <c r="L17" s="12">
        <f>ROUND(MAX(0,$H$17+$I$17-$J$17-$K$17),2)</f>
        <v>5134.14</v>
      </c>
      <c r="M17" s="12">
        <f>$Q$16</f>
        <v>6065.14</v>
      </c>
      <c r="N17" s="12">
        <f>ROUND(IF($M$17&lt;=0,0,$M$17*PersonalLoanAPR/12),2)</f>
        <v>65.2</v>
      </c>
      <c r="O17" s="12">
        <f>ROUND(IF($M$17&lt;=0,0,MIN(PersonalLoanMinPayment,$M$17+$N$17)),2)</f>
        <v>229.0</v>
      </c>
      <c r="P17" s="12">
        <f>ROUND(IF($M$17&lt;=0,0,MIN(MAX(0,$M$17+$N$17-$O$17),MAX(0,$AB$17-$F$17-$K$17))),2)</f>
        <v>0.0</v>
      </c>
      <c r="Q17" s="12">
        <f>ROUND(MAX(0,$M$17+$N$17-$O$17-$P$17),2)</f>
        <v>5901.34</v>
      </c>
      <c r="R17" s="12">
        <f>$V$16</f>
        <v>6844.56</v>
      </c>
      <c r="S17" s="12">
        <f>ROUND(IF($R$17&lt;=0,0,$R$17*AutoLoanAPR/12),2)</f>
        <v>39.36</v>
      </c>
      <c r="T17" s="12">
        <f>ROUND(IF($R$17&lt;=0,0,MIN(AutoLoanMinPayment,$R$17+$S$17)),2)</f>
        <v>269.0</v>
      </c>
      <c r="U17" s="12">
        <f>ROUND(IF($R$17&lt;=0,0,MIN(MAX(0,$R$17+$S$17-$T$17),MAX(0,$AB$17-$F$17-$K$17-$P$17))),2)</f>
        <v>0.0</v>
      </c>
      <c r="V17" s="12">
        <f>ROUND(MAX(0,$R$17+$S$17-$T$17-$U$17),2)</f>
        <v>6614.92</v>
      </c>
      <c r="W17" s="12">
        <f>$AA$16</f>
        <v>290.0</v>
      </c>
      <c r="X17" s="12">
        <f>ROUND(IF($W$17&lt;=0,0,$W$17*MedicalPlanAPR/12),2)</f>
        <v>0.0</v>
      </c>
      <c r="Y17" s="12">
        <f>ROUND(IF($W$17&lt;=0,0,MIN(MedicalPlanMinPayment,$W$17+$X$17)),2)</f>
        <v>30.0</v>
      </c>
      <c r="Z17" s="12">
        <f>ROUND(IF($W$17&lt;=0,0,MIN(MAX(0,$W$17+$X$17-$Y$17),MAX(0,$AB$17-$F$17-$K$17-$P$17-$U$17))),2)</f>
        <v>0.0</v>
      </c>
      <c r="AA17" s="12">
        <f>ROUND(MAX(0,$W$17+$X$17-$Y$17-$Z$17),2)</f>
        <v>260.0</v>
      </c>
      <c r="AB17" s="12">
        <f>ROUND(ExtraPayment+IF($G$16&lt;=0,VisaCardMinPayment,0)+IF($L$16&lt;=0,MastercardMinPayment,0)+IF($Q$16&lt;=0,PersonalLoanMinPayment,0)+IF($V$16&lt;=0,AutoLoanMinPayment,0)+IF($AA$16&lt;=0,MedicalPlanMinPayment,0),2)</f>
        <v>250.0</v>
      </c>
      <c r="AC17" s="12">
        <f>ROUND(SUM($D$17,$I$17,$N$17,$S$17,$X$17),2)</f>
        <v>298.64</v>
      </c>
      <c r="AD17" s="12">
        <f>ROUND(SUM($G$17,$L$17,$Q$17,$V$17,$AA$17),2)</f>
        <v>21544.13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3633.73</v>
      </c>
      <c r="D18" s="12">
        <f>ROUND(IF($C$18&lt;=0,0,$C$18*VisaCardAPR/12),2)</f>
        <v>84.76</v>
      </c>
      <c r="E18" s="12">
        <f>ROUND(IF($C$18&lt;=0,0,MIN(VisaCardMinPayment,$C$18+$D$18)),2)</f>
        <v>246.0</v>
      </c>
      <c r="F18" s="12">
        <f>ROUND(IF($C$18&lt;=0,0,MIN(MAX(0,$C$18+$D$18-$E$18),$AB$18)),2)</f>
        <v>250.0</v>
      </c>
      <c r="G18" s="12">
        <f>ROUND(MAX(0,$C$18+$D$18-$E$18-$F$18),2)</f>
        <v>3222.49</v>
      </c>
      <c r="H18" s="12">
        <f>$L$17</f>
        <v>5134.14</v>
      </c>
      <c r="I18" s="12">
        <f>ROUND(IF($H$18&lt;=0,0,$H$18*MastercardAPR/12),2)</f>
        <v>98.36</v>
      </c>
      <c r="J18" s="12">
        <f>ROUND(IF($H$18&lt;=0,0,MIN(MastercardMinPayment,$H$18+$I$18)),2)</f>
        <v>183.0</v>
      </c>
      <c r="K18" s="12">
        <f>ROUND(IF($H$18&lt;=0,0,MIN(MAX(0,$H$18+$I$18-$J$18),MAX(0,$AB$18-$F$18))),2)</f>
        <v>0.0</v>
      </c>
      <c r="L18" s="12">
        <f>ROUND(MAX(0,$H$18+$I$18-$J$18-$K$18),2)</f>
        <v>5049.5</v>
      </c>
      <c r="M18" s="12">
        <f>$Q$17</f>
        <v>5901.34</v>
      </c>
      <c r="N18" s="12">
        <f>ROUND(IF($M$18&lt;=0,0,$M$18*PersonalLoanAPR/12),2)</f>
        <v>63.44</v>
      </c>
      <c r="O18" s="12">
        <f>ROUND(IF($M$18&lt;=0,0,MIN(PersonalLoanMinPayment,$M$18+$N$18)),2)</f>
        <v>229.0</v>
      </c>
      <c r="P18" s="12">
        <f>ROUND(IF($M$18&lt;=0,0,MIN(MAX(0,$M$18+$N$18-$O$18),MAX(0,$AB$18-$F$18-$K$18))),2)</f>
        <v>0.0</v>
      </c>
      <c r="Q18" s="12">
        <f>ROUND(MAX(0,$M$18+$N$18-$O$18-$P$18),2)</f>
        <v>5735.78</v>
      </c>
      <c r="R18" s="12">
        <f>$V$17</f>
        <v>6614.92</v>
      </c>
      <c r="S18" s="12">
        <f>ROUND(IF($R$18&lt;=0,0,$R$18*AutoLoanAPR/12),2)</f>
        <v>38.04</v>
      </c>
      <c r="T18" s="12">
        <f>ROUND(IF($R$18&lt;=0,0,MIN(AutoLoanMinPayment,$R$18+$S$18)),2)</f>
        <v>269.0</v>
      </c>
      <c r="U18" s="12">
        <f>ROUND(IF($R$18&lt;=0,0,MIN(MAX(0,$R$18+$S$18-$T$18),MAX(0,$AB$18-$F$18-$K$18-$P$18))),2)</f>
        <v>0.0</v>
      </c>
      <c r="V18" s="12">
        <f>ROUND(MAX(0,$R$18+$S$18-$T$18-$U$18),2)</f>
        <v>6383.96</v>
      </c>
      <c r="W18" s="12">
        <f>$AA$17</f>
        <v>260.0</v>
      </c>
      <c r="X18" s="12">
        <f>ROUND(IF($W$18&lt;=0,0,$W$18*MedicalPlanAPR/12),2)</f>
        <v>0.0</v>
      </c>
      <c r="Y18" s="12">
        <f>ROUND(IF($W$18&lt;=0,0,MIN(MedicalPlanMinPayment,$W$18+$X$18)),2)</f>
        <v>30.0</v>
      </c>
      <c r="Z18" s="12">
        <f>ROUND(IF($W$18&lt;=0,0,MIN(MAX(0,$W$18+$X$18-$Y$18),MAX(0,$AB$18-$F$18-$K$18-$P$18-$U$18))),2)</f>
        <v>0.0</v>
      </c>
      <c r="AA18" s="12">
        <f>ROUND(MAX(0,$W$18+$X$18-$Y$18-$Z$18),2)</f>
        <v>230.0</v>
      </c>
      <c r="AB18" s="12">
        <f>ROUND(ExtraPayment+IF($G$17&lt;=0,VisaCardMinPayment,0)+IF($L$17&lt;=0,MastercardMinPayment,0)+IF($Q$17&lt;=0,PersonalLoanMinPayment,0)+IF($V$17&lt;=0,AutoLoanMinPayment,0)+IF($AA$17&lt;=0,MedicalPlanMinPayment,0),2)</f>
        <v>250.0</v>
      </c>
      <c r="AC18" s="12">
        <f>ROUND(SUM($D$18,$I$18,$N$18,$S$18,$X$18),2)</f>
        <v>284.6</v>
      </c>
      <c r="AD18" s="12">
        <f>ROUND(SUM($G$18,$L$18,$Q$18,$V$18,$AA$18),2)</f>
        <v>20621.73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3222.49</v>
      </c>
      <c r="D19" s="12">
        <f>ROUND(IF($C$19&lt;=0,0,$C$19*VisaCardAPR/12),2)</f>
        <v>75.16</v>
      </c>
      <c r="E19" s="12">
        <f>ROUND(IF($C$19&lt;=0,0,MIN(VisaCardMinPayment,$C$19+$D$19)),2)</f>
        <v>246.0</v>
      </c>
      <c r="F19" s="12">
        <f>ROUND(IF($C$19&lt;=0,0,MIN(MAX(0,$C$19+$D$19-$E$19),$AB$19)),2)</f>
        <v>250.0</v>
      </c>
      <c r="G19" s="12">
        <f>ROUND(MAX(0,$C$19+$D$19-$E$19-$F$19),2)</f>
        <v>2801.65</v>
      </c>
      <c r="H19" s="12">
        <f>$L$18</f>
        <v>5049.5</v>
      </c>
      <c r="I19" s="12">
        <f>ROUND(IF($H$19&lt;=0,0,$H$19*MastercardAPR/12),2)</f>
        <v>96.74</v>
      </c>
      <c r="J19" s="12">
        <f>ROUND(IF($H$19&lt;=0,0,MIN(MastercardMinPayment,$H$19+$I$19)),2)</f>
        <v>183.0</v>
      </c>
      <c r="K19" s="12">
        <f>ROUND(IF($H$19&lt;=0,0,MIN(MAX(0,$H$19+$I$19-$J$19),MAX(0,$AB$19-$F$19))),2)</f>
        <v>0.0</v>
      </c>
      <c r="L19" s="12">
        <f>ROUND(MAX(0,$H$19+$I$19-$J$19-$K$19),2)</f>
        <v>4963.24</v>
      </c>
      <c r="M19" s="12">
        <f>$Q$18</f>
        <v>5735.78</v>
      </c>
      <c r="N19" s="12">
        <f>ROUND(IF($M$19&lt;=0,0,$M$19*PersonalLoanAPR/12),2)</f>
        <v>61.66</v>
      </c>
      <c r="O19" s="12">
        <f>ROUND(IF($M$19&lt;=0,0,MIN(PersonalLoanMinPayment,$M$19+$N$19)),2)</f>
        <v>229.0</v>
      </c>
      <c r="P19" s="12">
        <f>ROUND(IF($M$19&lt;=0,0,MIN(MAX(0,$M$19+$N$19-$O$19),MAX(0,$AB$19-$F$19-$K$19))),2)</f>
        <v>0.0</v>
      </c>
      <c r="Q19" s="12">
        <f>ROUND(MAX(0,$M$19+$N$19-$O$19-$P$19),2)</f>
        <v>5568.44</v>
      </c>
      <c r="R19" s="12">
        <f>$V$18</f>
        <v>6383.96</v>
      </c>
      <c r="S19" s="12">
        <f>ROUND(IF($R$19&lt;=0,0,$R$19*AutoLoanAPR/12),2)</f>
        <v>36.71</v>
      </c>
      <c r="T19" s="12">
        <f>ROUND(IF($R$19&lt;=0,0,MIN(AutoLoanMinPayment,$R$19+$S$19)),2)</f>
        <v>269.0</v>
      </c>
      <c r="U19" s="12">
        <f>ROUND(IF($R$19&lt;=0,0,MIN(MAX(0,$R$19+$S$19-$T$19),MAX(0,$AB$19-$F$19-$K$19-$P$19))),2)</f>
        <v>0.0</v>
      </c>
      <c r="V19" s="12">
        <f>ROUND(MAX(0,$R$19+$S$19-$T$19-$U$19),2)</f>
        <v>6151.67</v>
      </c>
      <c r="W19" s="12">
        <f>$AA$18</f>
        <v>230.0</v>
      </c>
      <c r="X19" s="12">
        <f>ROUND(IF($W$19&lt;=0,0,$W$19*MedicalPlanAPR/12),2)</f>
        <v>0.0</v>
      </c>
      <c r="Y19" s="12">
        <f>ROUND(IF($W$19&lt;=0,0,MIN(MedicalPlanMinPayment,$W$19+$X$19)),2)</f>
        <v>30.0</v>
      </c>
      <c r="Z19" s="12">
        <f>ROUND(IF($W$19&lt;=0,0,MIN(MAX(0,$W$19+$X$19-$Y$19),MAX(0,$AB$19-$F$19-$K$19-$P$19-$U$19))),2)</f>
        <v>0.0</v>
      </c>
      <c r="AA19" s="12">
        <f>ROUND(MAX(0,$W$19+$X$19-$Y$19-$Z$19),2)</f>
        <v>200.0</v>
      </c>
      <c r="AB19" s="12">
        <f>ROUND(ExtraPayment+IF($G$18&lt;=0,VisaCardMinPayment,0)+IF($L$18&lt;=0,MastercardMinPayment,0)+IF($Q$18&lt;=0,PersonalLoanMinPayment,0)+IF($V$18&lt;=0,AutoLoanMinPayment,0)+IF($AA$18&lt;=0,MedicalPlanMinPayment,0),2)</f>
        <v>250.0</v>
      </c>
      <c r="AC19" s="12">
        <f>ROUND(SUM($D$19,$I$19,$N$19,$S$19,$X$19),2)</f>
        <v>270.27</v>
      </c>
      <c r="AD19" s="12">
        <f>ROUND(SUM($G$19,$L$19,$Q$19,$V$19,$AA$19),2)</f>
        <v>19685.0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2801.65</v>
      </c>
      <c r="D20" s="12">
        <f>ROUND(IF($C$20&lt;=0,0,$C$20*VisaCardAPR/12),2)</f>
        <v>65.35</v>
      </c>
      <c r="E20" s="12">
        <f>ROUND(IF($C$20&lt;=0,0,MIN(VisaCardMinPayment,$C$20+$D$20)),2)</f>
        <v>246.0</v>
      </c>
      <c r="F20" s="12">
        <f>ROUND(IF($C$20&lt;=0,0,MIN(MAX(0,$C$20+$D$20-$E$20),$AB$20)),2)</f>
        <v>250.0</v>
      </c>
      <c r="G20" s="12">
        <f>ROUND(MAX(0,$C$20+$D$20-$E$20-$F$20),2)</f>
        <v>2371.0</v>
      </c>
      <c r="H20" s="12">
        <f>$L$19</f>
        <v>4963.24</v>
      </c>
      <c r="I20" s="12">
        <f>ROUND(IF($H$20&lt;=0,0,$H$20*MastercardAPR/12),2)</f>
        <v>95.09</v>
      </c>
      <c r="J20" s="12">
        <f>ROUND(IF($H$20&lt;=0,0,MIN(MastercardMinPayment,$H$20+$I$20)),2)</f>
        <v>183.0</v>
      </c>
      <c r="K20" s="12">
        <f>ROUND(IF($H$20&lt;=0,0,MIN(MAX(0,$H$20+$I$20-$J$20),MAX(0,$AB$20-$F$20))),2)</f>
        <v>0.0</v>
      </c>
      <c r="L20" s="12">
        <f>ROUND(MAX(0,$H$20+$I$20-$J$20-$K$20),2)</f>
        <v>4875.33</v>
      </c>
      <c r="M20" s="12">
        <f>$Q$19</f>
        <v>5568.44</v>
      </c>
      <c r="N20" s="12">
        <f>ROUND(IF($M$20&lt;=0,0,$M$20*PersonalLoanAPR/12),2)</f>
        <v>59.86</v>
      </c>
      <c r="O20" s="12">
        <f>ROUND(IF($M$20&lt;=0,0,MIN(PersonalLoanMinPayment,$M$20+$N$20)),2)</f>
        <v>229.0</v>
      </c>
      <c r="P20" s="12">
        <f>ROUND(IF($M$20&lt;=0,0,MIN(MAX(0,$M$20+$N$20-$O$20),MAX(0,$AB$20-$F$20-$K$20))),2)</f>
        <v>0.0</v>
      </c>
      <c r="Q20" s="12">
        <f>ROUND(MAX(0,$M$20+$N$20-$O$20-$P$20),2)</f>
        <v>5399.3</v>
      </c>
      <c r="R20" s="12">
        <f>$V$19</f>
        <v>6151.67</v>
      </c>
      <c r="S20" s="12">
        <f>ROUND(IF($R$20&lt;=0,0,$R$20*AutoLoanAPR/12),2)</f>
        <v>35.37</v>
      </c>
      <c r="T20" s="12">
        <f>ROUND(IF($R$20&lt;=0,0,MIN(AutoLoanMinPayment,$R$20+$S$20)),2)</f>
        <v>269.0</v>
      </c>
      <c r="U20" s="12">
        <f>ROUND(IF($R$20&lt;=0,0,MIN(MAX(0,$R$20+$S$20-$T$20),MAX(0,$AB$20-$F$20-$K$20-$P$20))),2)</f>
        <v>0.0</v>
      </c>
      <c r="V20" s="12">
        <f>ROUND(MAX(0,$R$20+$S$20-$T$20-$U$20),2)</f>
        <v>5918.04</v>
      </c>
      <c r="W20" s="12">
        <f>$AA$19</f>
        <v>200.0</v>
      </c>
      <c r="X20" s="12">
        <f>ROUND(IF($W$20&lt;=0,0,$W$20*MedicalPlanAPR/12),2)</f>
        <v>0.0</v>
      </c>
      <c r="Y20" s="12">
        <f>ROUND(IF($W$20&lt;=0,0,MIN(MedicalPlanMinPayment,$W$20+$X$20)),2)</f>
        <v>30.0</v>
      </c>
      <c r="Z20" s="12">
        <f>ROUND(IF($W$20&lt;=0,0,MIN(MAX(0,$W$20+$X$20-$Y$20),MAX(0,$AB$20-$F$20-$K$20-$P$20-$U$20))),2)</f>
        <v>0.0</v>
      </c>
      <c r="AA20" s="12">
        <f>ROUND(MAX(0,$W$20+$X$20-$Y$20-$Z$20),2)</f>
        <v>170.0</v>
      </c>
      <c r="AB20" s="12">
        <f>ROUND(ExtraPayment+IF($G$19&lt;=0,VisaCardMinPayment,0)+IF($L$19&lt;=0,MastercardMinPayment,0)+IF($Q$19&lt;=0,PersonalLoanMinPayment,0)+IF($V$19&lt;=0,AutoLoanMinPayment,0)+IF($AA$19&lt;=0,MedicalPlanMinPayment,0),2)</f>
        <v>250.0</v>
      </c>
      <c r="AC20" s="12">
        <f>ROUND(SUM($D$20,$I$20,$N$20,$S$20,$X$20),2)</f>
        <v>255.67</v>
      </c>
      <c r="AD20" s="12">
        <f>ROUND(SUM($G$20,$L$20,$Q$20,$V$20,$AA$20),2)</f>
        <v>18733.67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2371.0</v>
      </c>
      <c r="D21" s="12">
        <f>ROUND(IF($C$21&lt;=0,0,$C$21*VisaCardAPR/12),2)</f>
        <v>55.3</v>
      </c>
      <c r="E21" s="12">
        <f>ROUND(IF($C$21&lt;=0,0,MIN(VisaCardMinPayment,$C$21+$D$21)),2)</f>
        <v>246.0</v>
      </c>
      <c r="F21" s="12">
        <f>ROUND(IF($C$21&lt;=0,0,MIN(MAX(0,$C$21+$D$21-$E$21),$AB$21)),2)</f>
        <v>250.0</v>
      </c>
      <c r="G21" s="12">
        <f>ROUND(MAX(0,$C$21+$D$21-$E$21-$F$21),2)</f>
        <v>1930.3</v>
      </c>
      <c r="H21" s="12">
        <f>$L$20</f>
        <v>4875.33</v>
      </c>
      <c r="I21" s="12">
        <f>ROUND(IF($H$21&lt;=0,0,$H$21*MastercardAPR/12),2)</f>
        <v>93.4</v>
      </c>
      <c r="J21" s="12">
        <f>ROUND(IF($H$21&lt;=0,0,MIN(MastercardMinPayment,$H$21+$I$21)),2)</f>
        <v>183.0</v>
      </c>
      <c r="K21" s="12">
        <f>ROUND(IF($H$21&lt;=0,0,MIN(MAX(0,$H$21+$I$21-$J$21),MAX(0,$AB$21-$F$21))),2)</f>
        <v>0.0</v>
      </c>
      <c r="L21" s="12">
        <f>ROUND(MAX(0,$H$21+$I$21-$J$21-$K$21),2)</f>
        <v>4785.73</v>
      </c>
      <c r="M21" s="12">
        <f>$Q$20</f>
        <v>5399.3</v>
      </c>
      <c r="N21" s="12">
        <f>ROUND(IF($M$21&lt;=0,0,$M$21*PersonalLoanAPR/12),2)</f>
        <v>58.04</v>
      </c>
      <c r="O21" s="12">
        <f>ROUND(IF($M$21&lt;=0,0,MIN(PersonalLoanMinPayment,$M$21+$N$21)),2)</f>
        <v>229.0</v>
      </c>
      <c r="P21" s="12">
        <f>ROUND(IF($M$21&lt;=0,0,MIN(MAX(0,$M$21+$N$21-$O$21),MAX(0,$AB$21-$F$21-$K$21))),2)</f>
        <v>0.0</v>
      </c>
      <c r="Q21" s="12">
        <f>ROUND(MAX(0,$M$21+$N$21-$O$21-$P$21),2)</f>
        <v>5228.34</v>
      </c>
      <c r="R21" s="12">
        <f>$V$20</f>
        <v>5918.04</v>
      </c>
      <c r="S21" s="12">
        <f>ROUND(IF($R$21&lt;=0,0,$R$21*AutoLoanAPR/12),2)</f>
        <v>34.03</v>
      </c>
      <c r="T21" s="12">
        <f>ROUND(IF($R$21&lt;=0,0,MIN(AutoLoanMinPayment,$R$21+$S$21)),2)</f>
        <v>269.0</v>
      </c>
      <c r="U21" s="12">
        <f>ROUND(IF($R$21&lt;=0,0,MIN(MAX(0,$R$21+$S$21-$T$21),MAX(0,$AB$21-$F$21-$K$21-$P$21))),2)</f>
        <v>0.0</v>
      </c>
      <c r="V21" s="12">
        <f>ROUND(MAX(0,$R$21+$S$21-$T$21-$U$21),2)</f>
        <v>5683.07</v>
      </c>
      <c r="W21" s="12">
        <f>$AA$20</f>
        <v>170.0</v>
      </c>
      <c r="X21" s="12">
        <f>ROUND(IF($W$21&lt;=0,0,$W$21*MedicalPlanAPR/12),2)</f>
        <v>0.0</v>
      </c>
      <c r="Y21" s="12">
        <f>ROUND(IF($W$21&lt;=0,0,MIN(MedicalPlanMinPayment,$W$21+$X$21)),2)</f>
        <v>30.0</v>
      </c>
      <c r="Z21" s="12">
        <f>ROUND(IF($W$21&lt;=0,0,MIN(MAX(0,$W$21+$X$21-$Y$21),MAX(0,$AB$21-$F$21-$K$21-$P$21-$U$21))),2)</f>
        <v>0.0</v>
      </c>
      <c r="AA21" s="12">
        <f>ROUND(MAX(0,$W$21+$X$21-$Y$21-$Z$21),2)</f>
        <v>140.0</v>
      </c>
      <c r="AB21" s="12">
        <f>ROUND(ExtraPayment+IF($G$20&lt;=0,VisaCardMinPayment,0)+IF($L$20&lt;=0,MastercardMinPayment,0)+IF($Q$20&lt;=0,PersonalLoanMinPayment,0)+IF($V$20&lt;=0,AutoLoanMinPayment,0)+IF($AA$20&lt;=0,MedicalPlanMinPayment,0),2)</f>
        <v>250.0</v>
      </c>
      <c r="AC21" s="12">
        <f>ROUND(SUM($D$21,$I$21,$N$21,$S$21,$X$21),2)</f>
        <v>240.77</v>
      </c>
      <c r="AD21" s="12">
        <f>ROUND(SUM($G$21,$L$21,$Q$21,$V$21,$AA$21),2)</f>
        <v>17767.44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1930.3</v>
      </c>
      <c r="D22" s="12">
        <f>ROUND(IF($C$22&lt;=0,0,$C$22*VisaCardAPR/12),2)</f>
        <v>45.02</v>
      </c>
      <c r="E22" s="12">
        <f>ROUND(IF($C$22&lt;=0,0,MIN(VisaCardMinPayment,$C$22+$D$22)),2)</f>
        <v>246.0</v>
      </c>
      <c r="F22" s="12">
        <f>ROUND(IF($C$22&lt;=0,0,MIN(MAX(0,$C$22+$D$22-$E$22),$AB$22)),2)</f>
        <v>250.0</v>
      </c>
      <c r="G22" s="12">
        <f>ROUND(MAX(0,$C$22+$D$22-$E$22-$F$22),2)</f>
        <v>1479.32</v>
      </c>
      <c r="H22" s="12">
        <f>$L$21</f>
        <v>4785.73</v>
      </c>
      <c r="I22" s="12">
        <f>ROUND(IF($H$22&lt;=0,0,$H$22*MastercardAPR/12),2)</f>
        <v>91.69</v>
      </c>
      <c r="J22" s="12">
        <f>ROUND(IF($H$22&lt;=0,0,MIN(MastercardMinPayment,$H$22+$I$22)),2)</f>
        <v>183.0</v>
      </c>
      <c r="K22" s="12">
        <f>ROUND(IF($H$22&lt;=0,0,MIN(MAX(0,$H$22+$I$22-$J$22),MAX(0,$AB$22-$F$22))),2)</f>
        <v>0.0</v>
      </c>
      <c r="L22" s="12">
        <f>ROUND(MAX(0,$H$22+$I$22-$J$22-$K$22),2)</f>
        <v>4694.42</v>
      </c>
      <c r="M22" s="12">
        <f>$Q$21</f>
        <v>5228.34</v>
      </c>
      <c r="N22" s="12">
        <f>ROUND(IF($M$22&lt;=0,0,$M$22*PersonalLoanAPR/12),2)</f>
        <v>56.2</v>
      </c>
      <c r="O22" s="12">
        <f>ROUND(IF($M$22&lt;=0,0,MIN(PersonalLoanMinPayment,$M$22+$N$22)),2)</f>
        <v>229.0</v>
      </c>
      <c r="P22" s="12">
        <f>ROUND(IF($M$22&lt;=0,0,MIN(MAX(0,$M$22+$N$22-$O$22),MAX(0,$AB$22-$F$22-$K$22))),2)</f>
        <v>0.0</v>
      </c>
      <c r="Q22" s="12">
        <f>ROUND(MAX(0,$M$22+$N$22-$O$22-$P$22),2)</f>
        <v>5055.54</v>
      </c>
      <c r="R22" s="12">
        <f>$V$21</f>
        <v>5683.07</v>
      </c>
      <c r="S22" s="12">
        <f>ROUND(IF($R$22&lt;=0,0,$R$22*AutoLoanAPR/12),2)</f>
        <v>32.68</v>
      </c>
      <c r="T22" s="12">
        <f>ROUND(IF($R$22&lt;=0,0,MIN(AutoLoanMinPayment,$R$22+$S$22)),2)</f>
        <v>269.0</v>
      </c>
      <c r="U22" s="12">
        <f>ROUND(IF($R$22&lt;=0,0,MIN(MAX(0,$R$22+$S$22-$T$22),MAX(0,$AB$22-$F$22-$K$22-$P$22))),2)</f>
        <v>0.0</v>
      </c>
      <c r="V22" s="12">
        <f>ROUND(MAX(0,$R$22+$S$22-$T$22-$U$22),2)</f>
        <v>5446.75</v>
      </c>
      <c r="W22" s="12">
        <f>$AA$21</f>
        <v>140.0</v>
      </c>
      <c r="X22" s="12">
        <f>ROUND(IF($W$22&lt;=0,0,$W$22*MedicalPlanAPR/12),2)</f>
        <v>0.0</v>
      </c>
      <c r="Y22" s="12">
        <f>ROUND(IF($W$22&lt;=0,0,MIN(MedicalPlanMinPayment,$W$22+$X$22)),2)</f>
        <v>30.0</v>
      </c>
      <c r="Z22" s="12">
        <f>ROUND(IF($W$22&lt;=0,0,MIN(MAX(0,$W$22+$X$22-$Y$22),MAX(0,$AB$22-$F$22-$K$22-$P$22-$U$22))),2)</f>
        <v>0.0</v>
      </c>
      <c r="AA22" s="12">
        <f>ROUND(MAX(0,$W$22+$X$22-$Y$22-$Z$22),2)</f>
        <v>110.0</v>
      </c>
      <c r="AB22" s="12">
        <f>ROUND(ExtraPayment+IF($G$21&lt;=0,VisaCardMinPayment,0)+IF($L$21&lt;=0,MastercardMinPayment,0)+IF($Q$21&lt;=0,PersonalLoanMinPayment,0)+IF($V$21&lt;=0,AutoLoanMinPayment,0)+IF($AA$21&lt;=0,MedicalPlanMinPayment,0),2)</f>
        <v>250.0</v>
      </c>
      <c r="AC22" s="12">
        <f>ROUND(SUM($D$22,$I$22,$N$22,$S$22,$X$22),2)</f>
        <v>225.59</v>
      </c>
      <c r="AD22" s="12">
        <f>ROUND(SUM($G$22,$L$22,$Q$22,$V$22,$AA$22),2)</f>
        <v>16786.03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1479.32</v>
      </c>
      <c r="D23" s="12">
        <f>ROUND(IF($C$23&lt;=0,0,$C$23*VisaCardAPR/12),2)</f>
        <v>34.51</v>
      </c>
      <c r="E23" s="12">
        <f>ROUND(IF($C$23&lt;=0,0,MIN(VisaCardMinPayment,$C$23+$D$23)),2)</f>
        <v>246.0</v>
      </c>
      <c r="F23" s="12">
        <f>ROUND(IF($C$23&lt;=0,0,MIN(MAX(0,$C$23+$D$23-$E$23),$AB$23)),2)</f>
        <v>250.0</v>
      </c>
      <c r="G23" s="12">
        <f>ROUND(MAX(0,$C$23+$D$23-$E$23-$F$23),2)</f>
        <v>1017.83</v>
      </c>
      <c r="H23" s="12">
        <f>$L$22</f>
        <v>4694.42</v>
      </c>
      <c r="I23" s="12">
        <f>ROUND(IF($H$23&lt;=0,0,$H$23*MastercardAPR/12),2)</f>
        <v>89.94</v>
      </c>
      <c r="J23" s="12">
        <f>ROUND(IF($H$23&lt;=0,0,MIN(MastercardMinPayment,$H$23+$I$23)),2)</f>
        <v>183.0</v>
      </c>
      <c r="K23" s="12">
        <f>ROUND(IF($H$23&lt;=0,0,MIN(MAX(0,$H$23+$I$23-$J$23),MAX(0,$AB$23-$F$23))),2)</f>
        <v>0.0</v>
      </c>
      <c r="L23" s="12">
        <f>ROUND(MAX(0,$H$23+$I$23-$J$23-$K$23),2)</f>
        <v>4601.36</v>
      </c>
      <c r="M23" s="12">
        <f>$Q$22</f>
        <v>5055.54</v>
      </c>
      <c r="N23" s="12">
        <f>ROUND(IF($M$23&lt;=0,0,$M$23*PersonalLoanAPR/12),2)</f>
        <v>54.35</v>
      </c>
      <c r="O23" s="12">
        <f>ROUND(IF($M$23&lt;=0,0,MIN(PersonalLoanMinPayment,$M$23+$N$23)),2)</f>
        <v>229.0</v>
      </c>
      <c r="P23" s="12">
        <f>ROUND(IF($M$23&lt;=0,0,MIN(MAX(0,$M$23+$N$23-$O$23),MAX(0,$AB$23-$F$23-$K$23))),2)</f>
        <v>0.0</v>
      </c>
      <c r="Q23" s="12">
        <f>ROUND(MAX(0,$M$23+$N$23-$O$23-$P$23),2)</f>
        <v>4880.89</v>
      </c>
      <c r="R23" s="12">
        <f>$V$22</f>
        <v>5446.75</v>
      </c>
      <c r="S23" s="12">
        <f>ROUND(IF($R$23&lt;=0,0,$R$23*AutoLoanAPR/12),2)</f>
        <v>31.32</v>
      </c>
      <c r="T23" s="12">
        <f>ROUND(IF($R$23&lt;=0,0,MIN(AutoLoanMinPayment,$R$23+$S$23)),2)</f>
        <v>269.0</v>
      </c>
      <c r="U23" s="12">
        <f>ROUND(IF($R$23&lt;=0,0,MIN(MAX(0,$R$23+$S$23-$T$23),MAX(0,$AB$23-$F$23-$K$23-$P$23))),2)</f>
        <v>0.0</v>
      </c>
      <c r="V23" s="12">
        <f>ROUND(MAX(0,$R$23+$S$23-$T$23-$U$23),2)</f>
        <v>5209.07</v>
      </c>
      <c r="W23" s="12">
        <f>$AA$22</f>
        <v>110.0</v>
      </c>
      <c r="X23" s="12">
        <f>ROUND(IF($W$23&lt;=0,0,$W$23*MedicalPlanAPR/12),2)</f>
        <v>0.0</v>
      </c>
      <c r="Y23" s="12">
        <f>ROUND(IF($W$23&lt;=0,0,MIN(MedicalPlanMinPayment,$W$23+$X$23)),2)</f>
        <v>30.0</v>
      </c>
      <c r="Z23" s="12">
        <f>ROUND(IF($W$23&lt;=0,0,MIN(MAX(0,$W$23+$X$23-$Y$23),MAX(0,$AB$23-$F$23-$K$23-$P$23-$U$23))),2)</f>
        <v>0.0</v>
      </c>
      <c r="AA23" s="12">
        <f>ROUND(MAX(0,$W$23+$X$23-$Y$23-$Z$23),2)</f>
        <v>80.0</v>
      </c>
      <c r="AB23" s="12">
        <f>ROUND(ExtraPayment+IF($G$22&lt;=0,VisaCardMinPayment,0)+IF($L$22&lt;=0,MastercardMinPayment,0)+IF($Q$22&lt;=0,PersonalLoanMinPayment,0)+IF($V$22&lt;=0,AutoLoanMinPayment,0)+IF($AA$22&lt;=0,MedicalPlanMinPayment,0),2)</f>
        <v>250.0</v>
      </c>
      <c r="AC23" s="12">
        <f>ROUND(SUM($D$23,$I$23,$N$23,$S$23,$X$23),2)</f>
        <v>210.12</v>
      </c>
      <c r="AD23" s="12">
        <f>ROUND(SUM($G$23,$L$23,$Q$23,$V$23,$AA$23),2)</f>
        <v>15789.15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1017.83</v>
      </c>
      <c r="D24" s="12">
        <f>ROUND(IF($C$24&lt;=0,0,$C$24*VisaCardAPR/12),2)</f>
        <v>23.74</v>
      </c>
      <c r="E24" s="12">
        <f>ROUND(IF($C$24&lt;=0,0,MIN(VisaCardMinPayment,$C$24+$D$24)),2)</f>
        <v>246.0</v>
      </c>
      <c r="F24" s="12">
        <f>ROUND(IF($C$24&lt;=0,0,MIN(MAX(0,$C$24+$D$24-$E$24),$AB$24)),2)</f>
        <v>250.0</v>
      </c>
      <c r="G24" s="12">
        <f>ROUND(MAX(0,$C$24+$D$24-$E$24-$F$24),2)</f>
        <v>545.57</v>
      </c>
      <c r="H24" s="12">
        <f>$L$23</f>
        <v>4601.36</v>
      </c>
      <c r="I24" s="12">
        <f>ROUND(IF($H$24&lt;=0,0,$H$24*MastercardAPR/12),2)</f>
        <v>88.15</v>
      </c>
      <c r="J24" s="12">
        <f>ROUND(IF($H$24&lt;=0,0,MIN(MastercardMinPayment,$H$24+$I$24)),2)</f>
        <v>183.0</v>
      </c>
      <c r="K24" s="12">
        <f>ROUND(IF($H$24&lt;=0,0,MIN(MAX(0,$H$24+$I$24-$J$24),MAX(0,$AB$24-$F$24))),2)</f>
        <v>0.0</v>
      </c>
      <c r="L24" s="12">
        <f>ROUND(MAX(0,$H$24+$I$24-$J$24-$K$24),2)</f>
        <v>4506.51</v>
      </c>
      <c r="M24" s="12">
        <f>$Q$23</f>
        <v>4880.89</v>
      </c>
      <c r="N24" s="12">
        <f>ROUND(IF($M$24&lt;=0,0,$M$24*PersonalLoanAPR/12),2)</f>
        <v>52.47</v>
      </c>
      <c r="O24" s="12">
        <f>ROUND(IF($M$24&lt;=0,0,MIN(PersonalLoanMinPayment,$M$24+$N$24)),2)</f>
        <v>229.0</v>
      </c>
      <c r="P24" s="12">
        <f>ROUND(IF($M$24&lt;=0,0,MIN(MAX(0,$M$24+$N$24-$O$24),MAX(0,$AB$24-$F$24-$K$24))),2)</f>
        <v>0.0</v>
      </c>
      <c r="Q24" s="12">
        <f>ROUND(MAX(0,$M$24+$N$24-$O$24-$P$24),2)</f>
        <v>4704.36</v>
      </c>
      <c r="R24" s="12">
        <f>$V$23</f>
        <v>5209.07</v>
      </c>
      <c r="S24" s="12">
        <f>ROUND(IF($R$24&lt;=0,0,$R$24*AutoLoanAPR/12),2)</f>
        <v>29.95</v>
      </c>
      <c r="T24" s="12">
        <f>ROUND(IF($R$24&lt;=0,0,MIN(AutoLoanMinPayment,$R$24+$S$24)),2)</f>
        <v>269.0</v>
      </c>
      <c r="U24" s="12">
        <f>ROUND(IF($R$24&lt;=0,0,MIN(MAX(0,$R$24+$S$24-$T$24),MAX(0,$AB$24-$F$24-$K$24-$P$24))),2)</f>
        <v>0.0</v>
      </c>
      <c r="V24" s="12">
        <f>ROUND(MAX(0,$R$24+$S$24-$T$24-$U$24),2)</f>
        <v>4970.02</v>
      </c>
      <c r="W24" s="12">
        <f>$AA$23</f>
        <v>80.0</v>
      </c>
      <c r="X24" s="12">
        <f>ROUND(IF($W$24&lt;=0,0,$W$24*MedicalPlanAPR/12),2)</f>
        <v>0.0</v>
      </c>
      <c r="Y24" s="12">
        <f>ROUND(IF($W$24&lt;=0,0,MIN(MedicalPlanMinPayment,$W$24+$X$24)),2)</f>
        <v>30.0</v>
      </c>
      <c r="Z24" s="12">
        <f>ROUND(IF($W$24&lt;=0,0,MIN(MAX(0,$W$24+$X$24-$Y$24),MAX(0,$AB$24-$F$24-$K$24-$P$24-$U$24))),2)</f>
        <v>0.0</v>
      </c>
      <c r="AA24" s="12">
        <f>ROUND(MAX(0,$W$24+$X$24-$Y$24-$Z$24),2)</f>
        <v>50.0</v>
      </c>
      <c r="AB24" s="12">
        <f>ROUND(ExtraPayment+IF($G$23&lt;=0,VisaCardMinPayment,0)+IF($L$23&lt;=0,MastercardMinPayment,0)+IF($Q$23&lt;=0,PersonalLoanMinPayment,0)+IF($V$23&lt;=0,AutoLoanMinPayment,0)+IF($AA$23&lt;=0,MedicalPlanMinPayment,0),2)</f>
        <v>250.0</v>
      </c>
      <c r="AC24" s="12">
        <f>ROUND(SUM($D$24,$I$24,$N$24,$S$24,$X$24),2)</f>
        <v>194.31</v>
      </c>
      <c r="AD24" s="12">
        <f>ROUND(SUM($G$24,$L$24,$Q$24,$V$24,$AA$24),2)</f>
        <v>14776.46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545.57</v>
      </c>
      <c r="D25" s="12">
        <f>ROUND(IF($C$25&lt;=0,0,$C$25*VisaCardAPR/12),2)</f>
        <v>12.73</v>
      </c>
      <c r="E25" s="12">
        <f>ROUND(IF($C$25&lt;=0,0,MIN(VisaCardMinPayment,$C$25+$D$25)),2)</f>
        <v>246.0</v>
      </c>
      <c r="F25" s="12">
        <f>ROUND(IF($C$25&lt;=0,0,MIN(MAX(0,$C$25+$D$25-$E$25),$AB$25)),2)</f>
        <v>250.0</v>
      </c>
      <c r="G25" s="12">
        <f>ROUND(MAX(0,$C$25+$D$25-$E$25-$F$25),2)</f>
        <v>62.3</v>
      </c>
      <c r="H25" s="12">
        <f>$L$24</f>
        <v>4506.51</v>
      </c>
      <c r="I25" s="12">
        <f>ROUND(IF($H$25&lt;=0,0,$H$25*MastercardAPR/12),2)</f>
        <v>86.34</v>
      </c>
      <c r="J25" s="12">
        <f>ROUND(IF($H$25&lt;=0,0,MIN(MastercardMinPayment,$H$25+$I$25)),2)</f>
        <v>183.0</v>
      </c>
      <c r="K25" s="12">
        <f>ROUND(IF($H$25&lt;=0,0,MIN(MAX(0,$H$25+$I$25-$J$25),MAX(0,$AB$25-$F$25))),2)</f>
        <v>0.0</v>
      </c>
      <c r="L25" s="12">
        <f>ROUND(MAX(0,$H$25+$I$25-$J$25-$K$25),2)</f>
        <v>4409.85</v>
      </c>
      <c r="M25" s="12">
        <f>$Q$24</f>
        <v>4704.36</v>
      </c>
      <c r="N25" s="12">
        <f>ROUND(IF($M$25&lt;=0,0,$M$25*PersonalLoanAPR/12),2)</f>
        <v>50.57</v>
      </c>
      <c r="O25" s="12">
        <f>ROUND(IF($M$25&lt;=0,0,MIN(PersonalLoanMinPayment,$M$25+$N$25)),2)</f>
        <v>229.0</v>
      </c>
      <c r="P25" s="12">
        <f>ROUND(IF($M$25&lt;=0,0,MIN(MAX(0,$M$25+$N$25-$O$25),MAX(0,$AB$25-$F$25-$K$25))),2)</f>
        <v>0.0</v>
      </c>
      <c r="Q25" s="12">
        <f>ROUND(MAX(0,$M$25+$N$25-$O$25-$P$25),2)</f>
        <v>4525.93</v>
      </c>
      <c r="R25" s="12">
        <f>$V$24</f>
        <v>4970.02</v>
      </c>
      <c r="S25" s="12">
        <f>ROUND(IF($R$25&lt;=0,0,$R$25*AutoLoanAPR/12),2)</f>
        <v>28.58</v>
      </c>
      <c r="T25" s="12">
        <f>ROUND(IF($R$25&lt;=0,0,MIN(AutoLoanMinPayment,$R$25+$S$25)),2)</f>
        <v>269.0</v>
      </c>
      <c r="U25" s="12">
        <f>ROUND(IF($R$25&lt;=0,0,MIN(MAX(0,$R$25+$S$25-$T$25),MAX(0,$AB$25-$F$25-$K$25-$P$25))),2)</f>
        <v>0.0</v>
      </c>
      <c r="V25" s="12">
        <f>ROUND(MAX(0,$R$25+$S$25-$T$25-$U$25),2)</f>
        <v>4729.6</v>
      </c>
      <c r="W25" s="12">
        <f>$AA$24</f>
        <v>50.0</v>
      </c>
      <c r="X25" s="12">
        <f>ROUND(IF($W$25&lt;=0,0,$W$25*MedicalPlanAPR/12),2)</f>
        <v>0.0</v>
      </c>
      <c r="Y25" s="12">
        <f>ROUND(IF($W$25&lt;=0,0,MIN(MedicalPlanMinPayment,$W$25+$X$25)),2)</f>
        <v>30.0</v>
      </c>
      <c r="Z25" s="12">
        <f>ROUND(IF($W$25&lt;=0,0,MIN(MAX(0,$W$25+$X$25-$Y$25),MAX(0,$AB$25-$F$25-$K$25-$P$25-$U$25))),2)</f>
        <v>0.0</v>
      </c>
      <c r="AA25" s="12">
        <f>ROUND(MAX(0,$W$25+$X$25-$Y$25-$Z$25),2)</f>
        <v>20.0</v>
      </c>
      <c r="AB25" s="12">
        <f>ROUND(ExtraPayment+IF($G$24&lt;=0,VisaCardMinPayment,0)+IF($L$24&lt;=0,MastercardMinPayment,0)+IF($Q$24&lt;=0,PersonalLoanMinPayment,0)+IF($V$24&lt;=0,AutoLoanMinPayment,0)+IF($AA$24&lt;=0,MedicalPlanMinPayment,0),2)</f>
        <v>250.0</v>
      </c>
      <c r="AC25" s="12">
        <f>ROUND(SUM($D$25,$I$25,$N$25,$S$25,$X$25),2)</f>
        <v>178.22</v>
      </c>
      <c r="AD25" s="12">
        <f>ROUND(SUM($G$25,$L$25,$Q$25,$V$25,$AA$25),2)</f>
        <v>13747.68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62.3</v>
      </c>
      <c r="D26" s="12">
        <f>ROUND(IF($C$26&lt;=0,0,$C$26*VisaCardAPR/12),2)</f>
        <v>1.45</v>
      </c>
      <c r="E26" s="12">
        <f>ROUND(IF($C$26&lt;=0,0,MIN(VisaCardMinPayment,$C$26+$D$26)),2)</f>
        <v>63.75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4409.85</v>
      </c>
      <c r="I26" s="12">
        <f>ROUND(IF($H$26&lt;=0,0,$H$26*MastercardAPR/12),2)</f>
        <v>84.49</v>
      </c>
      <c r="J26" s="12">
        <f>ROUND(IF($H$26&lt;=0,0,MIN(MastercardMinPayment,$H$26+$I$26)),2)</f>
        <v>183.0</v>
      </c>
      <c r="K26" s="12">
        <f>ROUND(IF($H$26&lt;=0,0,MIN(MAX(0,$H$26+$I$26-$J$26),MAX(0,$AB$26-$F$26))),2)</f>
        <v>250.0</v>
      </c>
      <c r="L26" s="12">
        <f>ROUND(MAX(0,$H$26+$I$26-$J$26-$K$26),2)</f>
        <v>4061.34</v>
      </c>
      <c r="M26" s="12">
        <f>$Q$25</f>
        <v>4525.93</v>
      </c>
      <c r="N26" s="12">
        <f>ROUND(IF($M$26&lt;=0,0,$M$26*PersonalLoanAPR/12),2)</f>
        <v>48.65</v>
      </c>
      <c r="O26" s="12">
        <f>ROUND(IF($M$26&lt;=0,0,MIN(PersonalLoanMinPayment,$M$26+$N$26)),2)</f>
        <v>229.0</v>
      </c>
      <c r="P26" s="12">
        <f>ROUND(IF($M$26&lt;=0,0,MIN(MAX(0,$M$26+$N$26-$O$26),MAX(0,$AB$26-$F$26-$K$26))),2)</f>
        <v>0.0</v>
      </c>
      <c r="Q26" s="12">
        <f>ROUND(MAX(0,$M$26+$N$26-$O$26-$P$26),2)</f>
        <v>4345.58</v>
      </c>
      <c r="R26" s="12">
        <f>$V$25</f>
        <v>4729.6</v>
      </c>
      <c r="S26" s="12">
        <f>ROUND(IF($R$26&lt;=0,0,$R$26*AutoLoanAPR/12),2)</f>
        <v>27.2</v>
      </c>
      <c r="T26" s="12">
        <f>ROUND(IF($R$26&lt;=0,0,MIN(AutoLoanMinPayment,$R$26+$S$26)),2)</f>
        <v>269.0</v>
      </c>
      <c r="U26" s="12">
        <f>ROUND(IF($R$26&lt;=0,0,MIN(MAX(0,$R$26+$S$26-$T$26),MAX(0,$AB$26-$F$26-$K$26-$P$26))),2)</f>
        <v>0.0</v>
      </c>
      <c r="V26" s="12">
        <f>ROUND(MAX(0,$R$26+$S$26-$T$26-$U$26),2)</f>
        <v>4487.8</v>
      </c>
      <c r="W26" s="12">
        <f>$AA$25</f>
        <v>20.0</v>
      </c>
      <c r="X26" s="12">
        <f>ROUND(IF($W$26&lt;=0,0,$W$26*MedicalPlanAPR/12),2)</f>
        <v>0.0</v>
      </c>
      <c r="Y26" s="12">
        <f>ROUND(IF($W$26&lt;=0,0,MIN(MedicalPlanMinPayment,$W$26+$X$26)),2)</f>
        <v>20.0</v>
      </c>
      <c r="Z26" s="12">
        <f>ROUND(IF($W$26&lt;=0,0,MIN(MAX(0,$W$26+$X$26-$Y$26),MAX(0,$AB$26-$F$26-$K$26-$P$26-$U$26))),2)</f>
        <v>0.0</v>
      </c>
      <c r="AA26" s="12">
        <f>ROUND(MAX(0,$W$26+$X$26-$Y$26-$Z$26),2)</f>
        <v>0.0</v>
      </c>
      <c r="AB26" s="12">
        <f>ROUND(ExtraPayment+IF($G$25&lt;=0,VisaCardMinPayment,0)+IF($L$25&lt;=0,MastercardMinPayment,0)+IF($Q$25&lt;=0,PersonalLoanMinPayment,0)+IF($V$25&lt;=0,AutoLoanMinPayment,0)+IF($AA$25&lt;=0,MedicalPlanMinPayment,0),2)</f>
        <v>250.0</v>
      </c>
      <c r="AC26" s="12">
        <f>ROUND(SUM($D$26,$I$26,$N$26,$S$26,$X$26),2)</f>
        <v>161.79</v>
      </c>
      <c r="AD26" s="12">
        <f>ROUND(SUM($G$26,$L$26,$Q$26,$V$26,$AA$26),2)</f>
        <v>12894.72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ROUND(IF($C$27&lt;=0,0,$C$27*VisaCardAPR/12),2)</f>
        <v>0.0</v>
      </c>
      <c r="E27" s="12">
        <f>ROUND(IF($C$27&lt;=0,0,MIN(VisaCardMinPayment,$C$27+$D$27)),2)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4061.34</v>
      </c>
      <c r="I27" s="12">
        <f>ROUND(IF($H$27&lt;=0,0,$H$27*MastercardAPR/12),2)</f>
        <v>77.81</v>
      </c>
      <c r="J27" s="12">
        <f>ROUND(IF($H$27&lt;=0,0,MIN(MastercardMinPayment,$H$27+$I$27)),2)</f>
        <v>183.0</v>
      </c>
      <c r="K27" s="12">
        <f>ROUND(IF($H$27&lt;=0,0,MIN(MAX(0,$H$27+$I$27-$J$27),MAX(0,$AB$27-$F$27))),2)</f>
        <v>526.0</v>
      </c>
      <c r="L27" s="12">
        <f>ROUND(MAX(0,$H$27+$I$27-$J$27-$K$27),2)</f>
        <v>3430.15</v>
      </c>
      <c r="M27" s="12">
        <f>$Q$26</f>
        <v>4345.58</v>
      </c>
      <c r="N27" s="12">
        <f>ROUND(IF($M$27&lt;=0,0,$M$27*PersonalLoanAPR/12),2)</f>
        <v>46.71</v>
      </c>
      <c r="O27" s="12">
        <f>ROUND(IF($M$27&lt;=0,0,MIN(PersonalLoanMinPayment,$M$27+$N$27)),2)</f>
        <v>229.0</v>
      </c>
      <c r="P27" s="12">
        <f>ROUND(IF($M$27&lt;=0,0,MIN(MAX(0,$M$27+$N$27-$O$27),MAX(0,$AB$27-$F$27-$K$27))),2)</f>
        <v>0.0</v>
      </c>
      <c r="Q27" s="12">
        <f>ROUND(MAX(0,$M$27+$N$27-$O$27-$P$27),2)</f>
        <v>4163.29</v>
      </c>
      <c r="R27" s="12">
        <f>$V$26</f>
        <v>4487.8</v>
      </c>
      <c r="S27" s="12">
        <f>ROUND(IF($R$27&lt;=0,0,$R$27*AutoLoanAPR/12),2)</f>
        <v>25.8</v>
      </c>
      <c r="T27" s="12">
        <f>ROUND(IF($R$27&lt;=0,0,MIN(AutoLoanMinPayment,$R$27+$S$27)),2)</f>
        <v>269.0</v>
      </c>
      <c r="U27" s="12">
        <f>ROUND(IF($R$27&lt;=0,0,MIN(MAX(0,$R$27+$S$27-$T$27),MAX(0,$AB$27-$F$27-$K$27-$P$27))),2)</f>
        <v>0.0</v>
      </c>
      <c r="V27" s="12">
        <f>ROUND(MAX(0,$R$27+$S$27-$T$27-$U$27),2)</f>
        <v>4244.6</v>
      </c>
      <c r="W27" s="12">
        <f>$AA$26</f>
        <v>0.0</v>
      </c>
      <c r="X27" s="12">
        <f>ROUND(IF($W$27&lt;=0,0,$W$27*MedicalPlanAPR/12),2)</f>
        <v>0.0</v>
      </c>
      <c r="Y27" s="12">
        <f>ROUND(IF($W$27&lt;=0,0,MIN(MedicalPlanMinPayment,$W$27+$X$27)),2)</f>
        <v>0.0</v>
      </c>
      <c r="Z27" s="12">
        <f>ROUND(IF($W$27&lt;=0,0,MIN(MAX(0,$W$27+$X$27-$Y$27),MAX(0,$AB$27-$F$27-$K$27-$P$27-$U$27))),2)</f>
        <v>0.0</v>
      </c>
      <c r="AA27" s="12">
        <f>ROUND(MAX(0,$W$27+$X$27-$Y$27-$Z$27),2)</f>
        <v>0.0</v>
      </c>
      <c r="AB27" s="12">
        <f>ROUND(ExtraPayment+IF($G$26&lt;=0,VisaCardMinPayment,0)+IF($L$26&lt;=0,MastercardMinPayment,0)+IF($Q$26&lt;=0,PersonalLoanMinPayment,0)+IF($V$26&lt;=0,AutoLoanMinPayment,0)+IF($AA$26&lt;=0,MedicalPlanMinPayment,0),2)</f>
        <v>526.0</v>
      </c>
      <c r="AC27" s="12">
        <f>ROUND(SUM($D$27,$I$27,$N$27,$S$27,$X$27),2)</f>
        <v>150.32</v>
      </c>
      <c r="AD27" s="12">
        <f>ROUND(SUM($G$27,$L$27,$Q$27,$V$27,$AA$27),2)</f>
        <v>11838.04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ROUND(IF($C$28&lt;=0,0,$C$28*VisaCardAPR/12),2)</f>
        <v>0.0</v>
      </c>
      <c r="E28" s="12">
        <f>ROUND(IF($C$28&lt;=0,0,MIN(VisaCardMinPayment,$C$28+$D$28)),2)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3430.15</v>
      </c>
      <c r="I28" s="12">
        <f>ROUND(IF($H$28&lt;=0,0,$H$28*MastercardAPR/12),2)</f>
        <v>65.72</v>
      </c>
      <c r="J28" s="12">
        <f>ROUND(IF($H$28&lt;=0,0,MIN(MastercardMinPayment,$H$28+$I$28)),2)</f>
        <v>183.0</v>
      </c>
      <c r="K28" s="12">
        <f>ROUND(IF($H$28&lt;=0,0,MIN(MAX(0,$H$28+$I$28-$J$28),MAX(0,$AB$28-$F$28))),2)</f>
        <v>526.0</v>
      </c>
      <c r="L28" s="12">
        <f>ROUND(MAX(0,$H$28+$I$28-$J$28-$K$28),2)</f>
        <v>2786.87</v>
      </c>
      <c r="M28" s="12">
        <f>$Q$27</f>
        <v>4163.29</v>
      </c>
      <c r="N28" s="12">
        <f>ROUND(IF($M$28&lt;=0,0,$M$28*PersonalLoanAPR/12),2)</f>
        <v>44.76</v>
      </c>
      <c r="O28" s="12">
        <f>ROUND(IF($M$28&lt;=0,0,MIN(PersonalLoanMinPayment,$M$28+$N$28)),2)</f>
        <v>229.0</v>
      </c>
      <c r="P28" s="12">
        <f>ROUND(IF($M$28&lt;=0,0,MIN(MAX(0,$M$28+$N$28-$O$28),MAX(0,$AB$28-$F$28-$K$28))),2)</f>
        <v>0.0</v>
      </c>
      <c r="Q28" s="12">
        <f>ROUND(MAX(0,$M$28+$N$28-$O$28-$P$28),2)</f>
        <v>3979.05</v>
      </c>
      <c r="R28" s="12">
        <f>$V$27</f>
        <v>4244.6</v>
      </c>
      <c r="S28" s="12">
        <f>ROUND(IF($R$28&lt;=0,0,$R$28*AutoLoanAPR/12),2)</f>
        <v>24.41</v>
      </c>
      <c r="T28" s="12">
        <f>ROUND(IF($R$28&lt;=0,0,MIN(AutoLoanMinPayment,$R$28+$S$28)),2)</f>
        <v>269.0</v>
      </c>
      <c r="U28" s="12">
        <f>ROUND(IF($R$28&lt;=0,0,MIN(MAX(0,$R$28+$S$28-$T$28),MAX(0,$AB$28-$F$28-$K$28-$P$28))),2)</f>
        <v>0.0</v>
      </c>
      <c r="V28" s="12">
        <f>ROUND(MAX(0,$R$28+$S$28-$T$28-$U$28),2)</f>
        <v>4000.01</v>
      </c>
      <c r="W28" s="12">
        <f>$AA$27</f>
        <v>0.0</v>
      </c>
      <c r="X28" s="12">
        <f>ROUND(IF($W$28&lt;=0,0,$W$28*MedicalPlanAPR/12),2)</f>
        <v>0.0</v>
      </c>
      <c r="Y28" s="12">
        <f>ROUND(IF($W$28&lt;=0,0,MIN(MedicalPlanMinPayment,$W$28+$X$28)),2)</f>
        <v>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ROUND(ExtraPayment+IF($G$27&lt;=0,VisaCardMinPayment,0)+IF($L$27&lt;=0,MastercardMinPayment,0)+IF($Q$27&lt;=0,PersonalLoanMinPayment,0)+IF($V$27&lt;=0,AutoLoanMinPayment,0)+IF($AA$27&lt;=0,MedicalPlanMinPayment,0),2)</f>
        <v>526.0</v>
      </c>
      <c r="AC28" s="12">
        <f>ROUND(SUM($D$28,$I$28,$N$28,$S$28,$X$28),2)</f>
        <v>134.89</v>
      </c>
      <c r="AD28" s="12">
        <f>ROUND(SUM($G$28,$L$28,$Q$28,$V$28,$AA$28),2)</f>
        <v>10765.93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ROUND(IF($C$29&lt;=0,0,$C$29*VisaCardAPR/12),2)</f>
        <v>0.0</v>
      </c>
      <c r="E29" s="12">
        <f>ROUND(IF($C$29&lt;=0,0,MIN(VisaCardMinPayment,$C$29+$D$29)),2)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2786.87</v>
      </c>
      <c r="I29" s="12">
        <f>ROUND(IF($H$29&lt;=0,0,$H$29*MastercardAPR/12),2)</f>
        <v>53.39</v>
      </c>
      <c r="J29" s="12">
        <f>ROUND(IF($H$29&lt;=0,0,MIN(MastercardMinPayment,$H$29+$I$29)),2)</f>
        <v>183.0</v>
      </c>
      <c r="K29" s="12">
        <f>ROUND(IF($H$29&lt;=0,0,MIN(MAX(0,$H$29+$I$29-$J$29),MAX(0,$AB$29-$F$29))),2)</f>
        <v>526.0</v>
      </c>
      <c r="L29" s="12">
        <f>ROUND(MAX(0,$H$29+$I$29-$J$29-$K$29),2)</f>
        <v>2131.26</v>
      </c>
      <c r="M29" s="12">
        <f>$Q$28</f>
        <v>3979.05</v>
      </c>
      <c r="N29" s="12">
        <f>ROUND(IF($M$29&lt;=0,0,$M$29*PersonalLoanAPR/12),2)</f>
        <v>42.77</v>
      </c>
      <c r="O29" s="12">
        <f>ROUND(IF($M$29&lt;=0,0,MIN(PersonalLoanMinPayment,$M$29+$N$29)),2)</f>
        <v>229.0</v>
      </c>
      <c r="P29" s="12">
        <f>ROUND(IF($M$29&lt;=0,0,MIN(MAX(0,$M$29+$N$29-$O$29),MAX(0,$AB$29-$F$29-$K$29))),2)</f>
        <v>0.0</v>
      </c>
      <c r="Q29" s="12">
        <f>ROUND(MAX(0,$M$29+$N$29-$O$29-$P$29),2)</f>
        <v>3792.82</v>
      </c>
      <c r="R29" s="12">
        <f>$V$28</f>
        <v>4000.01</v>
      </c>
      <c r="S29" s="12">
        <f>ROUND(IF($R$29&lt;=0,0,$R$29*AutoLoanAPR/12),2)</f>
        <v>23.0</v>
      </c>
      <c r="T29" s="12">
        <f>ROUND(IF($R$29&lt;=0,0,MIN(AutoLoanMinPayment,$R$29+$S$29)),2)</f>
        <v>269.0</v>
      </c>
      <c r="U29" s="12">
        <f>ROUND(IF($R$29&lt;=0,0,MIN(MAX(0,$R$29+$S$29-$T$29),MAX(0,$AB$29-$F$29-$K$29-$P$29))),2)</f>
        <v>0.0</v>
      </c>
      <c r="V29" s="12">
        <f>ROUND(MAX(0,$R$29+$S$29-$T$29-$U$29),2)</f>
        <v>3754.01</v>
      </c>
      <c r="W29" s="12">
        <f>$AA$28</f>
        <v>0.0</v>
      </c>
      <c r="X29" s="12">
        <f>ROUND(IF($W$29&lt;=0,0,$W$29*MedicalPlanAPR/12),2)</f>
        <v>0.0</v>
      </c>
      <c r="Y29" s="12">
        <f>ROUND(IF($W$29&lt;=0,0,MIN(MedicalPlanMinPayment,$W$29+$X$29)),2)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ROUND(ExtraPayment+IF($G$28&lt;=0,VisaCardMinPayment,0)+IF($L$28&lt;=0,MastercardMinPayment,0)+IF($Q$28&lt;=0,PersonalLoanMinPayment,0)+IF($V$28&lt;=0,AutoLoanMinPayment,0)+IF($AA$28&lt;=0,MedicalPlanMinPayment,0),2)</f>
        <v>526.0</v>
      </c>
      <c r="AC29" s="12">
        <f>ROUND(SUM($D$29,$I$29,$N$29,$S$29,$X$29),2)</f>
        <v>119.16</v>
      </c>
      <c r="AD29" s="12">
        <f>ROUND(SUM($G$29,$L$29,$Q$29,$V$29,$AA$29),2)</f>
        <v>9678.09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ROUND(IF($C$30&lt;=0,0,$C$30*VisaCardAPR/12),2)</f>
        <v>0.0</v>
      </c>
      <c r="E30" s="12">
        <f>ROUND(IF($C$30&lt;=0,0,MIN(VisaCardMinPayment,$C$30+$D$30)),2)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2131.26</v>
      </c>
      <c r="I30" s="12">
        <f>ROUND(IF($H$30&lt;=0,0,$H$30*MastercardAPR/12),2)</f>
        <v>40.83</v>
      </c>
      <c r="J30" s="12">
        <f>ROUND(IF($H$30&lt;=0,0,MIN(MastercardMinPayment,$H$30+$I$30)),2)</f>
        <v>183.0</v>
      </c>
      <c r="K30" s="12">
        <f>ROUND(IF($H$30&lt;=0,0,MIN(MAX(0,$H$30+$I$30-$J$30),MAX(0,$AB$30-$F$30))),2)</f>
        <v>526.0</v>
      </c>
      <c r="L30" s="12">
        <f>ROUND(MAX(0,$H$30+$I$30-$J$30-$K$30),2)</f>
        <v>1463.09</v>
      </c>
      <c r="M30" s="12">
        <f>$Q$29</f>
        <v>3792.82</v>
      </c>
      <c r="N30" s="12">
        <f>ROUND(IF($M$30&lt;=0,0,$M$30*PersonalLoanAPR/12),2)</f>
        <v>40.77</v>
      </c>
      <c r="O30" s="12">
        <f>ROUND(IF($M$30&lt;=0,0,MIN(PersonalLoanMinPayment,$M$30+$N$30)),2)</f>
        <v>229.0</v>
      </c>
      <c r="P30" s="12">
        <f>ROUND(IF($M$30&lt;=0,0,MIN(MAX(0,$M$30+$N$30-$O$30),MAX(0,$AB$30-$F$30-$K$30))),2)</f>
        <v>0.0</v>
      </c>
      <c r="Q30" s="12">
        <f>ROUND(MAX(0,$M$30+$N$30-$O$30-$P$30),2)</f>
        <v>3604.59</v>
      </c>
      <c r="R30" s="12">
        <f>$V$29</f>
        <v>3754.01</v>
      </c>
      <c r="S30" s="12">
        <f>ROUND(IF($R$30&lt;=0,0,$R$30*AutoLoanAPR/12),2)</f>
        <v>21.59</v>
      </c>
      <c r="T30" s="12">
        <f>ROUND(IF($R$30&lt;=0,0,MIN(AutoLoanMinPayment,$R$30+$S$30)),2)</f>
        <v>269.0</v>
      </c>
      <c r="U30" s="12">
        <f>ROUND(IF($R$30&lt;=0,0,MIN(MAX(0,$R$30+$S$30-$T$30),MAX(0,$AB$30-$F$30-$K$30-$P$30))),2)</f>
        <v>0.0</v>
      </c>
      <c r="V30" s="12">
        <f>ROUND(MAX(0,$R$30+$S$30-$T$30-$U$30),2)</f>
        <v>3506.6</v>
      </c>
      <c r="W30" s="12">
        <f>$AA$29</f>
        <v>0.0</v>
      </c>
      <c r="X30" s="12">
        <f>ROUND(IF($W$30&lt;=0,0,$W$30*MedicalPlanAPR/12),2)</f>
        <v>0.0</v>
      </c>
      <c r="Y30" s="12">
        <f>ROUND(IF($W$30&lt;=0,0,MIN(MedicalPlanMinPayment,$W$30+$X$30)),2)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ROUND(ExtraPayment+IF($G$29&lt;=0,VisaCardMinPayment,0)+IF($L$29&lt;=0,MastercardMinPayment,0)+IF($Q$29&lt;=0,PersonalLoanMinPayment,0)+IF($V$29&lt;=0,AutoLoanMinPayment,0)+IF($AA$29&lt;=0,MedicalPlanMinPayment,0),2)</f>
        <v>526.0</v>
      </c>
      <c r="AC30" s="12">
        <f>ROUND(SUM($D$30,$I$30,$N$30,$S$30,$X$30),2)</f>
        <v>103.19</v>
      </c>
      <c r="AD30" s="12">
        <f>ROUND(SUM($G$30,$L$30,$Q$30,$V$30,$AA$30),2)</f>
        <v>8574.28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ROUND(IF($C$31&lt;=0,0,$C$31*VisaCardAPR/12),2)</f>
        <v>0.0</v>
      </c>
      <c r="E31" s="12">
        <f>ROUND(IF($C$31&lt;=0,0,MIN(VisaCardMinPayment,$C$31+$D$31)),2)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1463.09</v>
      </c>
      <c r="I31" s="12">
        <f>ROUND(IF($H$31&lt;=0,0,$H$31*MastercardAPR/12),2)</f>
        <v>28.03</v>
      </c>
      <c r="J31" s="12">
        <f>ROUND(IF($H$31&lt;=0,0,MIN(MastercardMinPayment,$H$31+$I$31)),2)</f>
        <v>183.0</v>
      </c>
      <c r="K31" s="12">
        <f>ROUND(IF($H$31&lt;=0,0,MIN(MAX(0,$H$31+$I$31-$J$31),MAX(0,$AB$31-$F$31))),2)</f>
        <v>526.0</v>
      </c>
      <c r="L31" s="12">
        <f>ROUND(MAX(0,$H$31+$I$31-$J$31-$K$31),2)</f>
        <v>782.12</v>
      </c>
      <c r="M31" s="12">
        <f>$Q$30</f>
        <v>3604.59</v>
      </c>
      <c r="N31" s="12">
        <f>ROUND(IF($M$31&lt;=0,0,$M$31*PersonalLoanAPR/12),2)</f>
        <v>38.75</v>
      </c>
      <c r="O31" s="12">
        <f>ROUND(IF($M$31&lt;=0,0,MIN(PersonalLoanMinPayment,$M$31+$N$31)),2)</f>
        <v>229.0</v>
      </c>
      <c r="P31" s="12">
        <f>ROUND(IF($M$31&lt;=0,0,MIN(MAX(0,$M$31+$N$31-$O$31),MAX(0,$AB$31-$F$31-$K$31))),2)</f>
        <v>0.0</v>
      </c>
      <c r="Q31" s="12">
        <f>ROUND(MAX(0,$M$31+$N$31-$O$31-$P$31),2)</f>
        <v>3414.34</v>
      </c>
      <c r="R31" s="12">
        <f>$V$30</f>
        <v>3506.6</v>
      </c>
      <c r="S31" s="12">
        <f>ROUND(IF($R$31&lt;=0,0,$R$31*AutoLoanAPR/12),2)</f>
        <v>20.16</v>
      </c>
      <c r="T31" s="12">
        <f>ROUND(IF($R$31&lt;=0,0,MIN(AutoLoanMinPayment,$R$31+$S$31)),2)</f>
        <v>269.0</v>
      </c>
      <c r="U31" s="12">
        <f>ROUND(IF($R$31&lt;=0,0,MIN(MAX(0,$R$31+$S$31-$T$31),MAX(0,$AB$31-$F$31-$K$31-$P$31))),2)</f>
        <v>0.0</v>
      </c>
      <c r="V31" s="12">
        <f>ROUND(MAX(0,$R$31+$S$31-$T$31-$U$31),2)</f>
        <v>3257.76</v>
      </c>
      <c r="W31" s="12">
        <f>$AA$30</f>
        <v>0.0</v>
      </c>
      <c r="X31" s="12">
        <f>ROUND(IF($W$31&lt;=0,0,$W$31*MedicalPlanAPR/12),2)</f>
        <v>0.0</v>
      </c>
      <c r="Y31" s="12">
        <f>ROUND(IF($W$31&lt;=0,0,MIN(MedicalPlanMinPayment,$W$31+$X$31)),2)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ROUND(ExtraPayment+IF($G$30&lt;=0,VisaCardMinPayment,0)+IF($L$30&lt;=0,MastercardMinPayment,0)+IF($Q$30&lt;=0,PersonalLoanMinPayment,0)+IF($V$30&lt;=0,AutoLoanMinPayment,0)+IF($AA$30&lt;=0,MedicalPlanMinPayment,0),2)</f>
        <v>526.0</v>
      </c>
      <c r="AC31" s="12">
        <f>ROUND(SUM($D$31,$I$31,$N$31,$S$31,$X$31),2)</f>
        <v>86.94</v>
      </c>
      <c r="AD31" s="12">
        <f>ROUND(SUM($G$31,$L$31,$Q$31,$V$31,$AA$31),2)</f>
        <v>7454.22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ROUND(IF($C$32&lt;=0,0,$C$32*VisaCardAPR/12),2)</f>
        <v>0.0</v>
      </c>
      <c r="E32" s="12">
        <f>ROUND(IF($C$32&lt;=0,0,MIN(VisaCardMinPayment,$C$32+$D$32)),2)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782.12</v>
      </c>
      <c r="I32" s="12">
        <f>ROUND(IF($H$32&lt;=0,0,$H$32*MastercardAPR/12),2)</f>
        <v>14.98</v>
      </c>
      <c r="J32" s="12">
        <f>ROUND(IF($H$32&lt;=0,0,MIN(MastercardMinPayment,$H$32+$I$32)),2)</f>
        <v>183.0</v>
      </c>
      <c r="K32" s="12">
        <f>ROUND(IF($H$32&lt;=0,0,MIN(MAX(0,$H$32+$I$32-$J$32),MAX(0,$AB$32-$F$32))),2)</f>
        <v>526.0</v>
      </c>
      <c r="L32" s="12">
        <f>ROUND(MAX(0,$H$32+$I$32-$J$32-$K$32),2)</f>
        <v>88.1</v>
      </c>
      <c r="M32" s="12">
        <f>$Q$31</f>
        <v>3414.34</v>
      </c>
      <c r="N32" s="12">
        <f>ROUND(IF($M$32&lt;=0,0,$M$32*PersonalLoanAPR/12),2)</f>
        <v>36.7</v>
      </c>
      <c r="O32" s="12">
        <f>ROUND(IF($M$32&lt;=0,0,MIN(PersonalLoanMinPayment,$M$32+$N$32)),2)</f>
        <v>229.0</v>
      </c>
      <c r="P32" s="12">
        <f>ROUND(IF($M$32&lt;=0,0,MIN(MAX(0,$M$32+$N$32-$O$32),MAX(0,$AB$32-$F$32-$K$32))),2)</f>
        <v>0.0</v>
      </c>
      <c r="Q32" s="12">
        <f>ROUND(MAX(0,$M$32+$N$32-$O$32-$P$32),2)</f>
        <v>3222.04</v>
      </c>
      <c r="R32" s="12">
        <f>$V$31</f>
        <v>3257.76</v>
      </c>
      <c r="S32" s="12">
        <f>ROUND(IF($R$32&lt;=0,0,$R$32*AutoLoanAPR/12),2)</f>
        <v>18.73</v>
      </c>
      <c r="T32" s="12">
        <f>ROUND(IF($R$32&lt;=0,0,MIN(AutoLoanMinPayment,$R$32+$S$32)),2)</f>
        <v>269.0</v>
      </c>
      <c r="U32" s="12">
        <f>ROUND(IF($R$32&lt;=0,0,MIN(MAX(0,$R$32+$S$32-$T$32),MAX(0,$AB$32-$F$32-$K$32-$P$32))),2)</f>
        <v>0.0</v>
      </c>
      <c r="V32" s="12">
        <f>ROUND(MAX(0,$R$32+$S$32-$T$32-$U$32),2)</f>
        <v>3007.49</v>
      </c>
      <c r="W32" s="12">
        <f>$AA$31</f>
        <v>0.0</v>
      </c>
      <c r="X32" s="12">
        <f>ROUND(IF($W$32&lt;=0,0,$W$32*MedicalPlanAPR/12),2)</f>
        <v>0.0</v>
      </c>
      <c r="Y32" s="12">
        <f>ROUND(IF($W$32&lt;=0,0,MIN(MedicalPlanMinPayment,$W$32+$X$32)),2)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ROUND(ExtraPayment+IF($G$31&lt;=0,VisaCardMinPayment,0)+IF($L$31&lt;=0,MastercardMinPayment,0)+IF($Q$31&lt;=0,PersonalLoanMinPayment,0)+IF($V$31&lt;=0,AutoLoanMinPayment,0)+IF($AA$31&lt;=0,MedicalPlanMinPayment,0),2)</f>
        <v>526.0</v>
      </c>
      <c r="AC32" s="12">
        <f>ROUND(SUM($D$32,$I$32,$N$32,$S$32,$X$32),2)</f>
        <v>70.41</v>
      </c>
      <c r="AD32" s="12">
        <f>ROUND(SUM($G$32,$L$32,$Q$32,$V$32,$AA$32),2)</f>
        <v>6317.63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ROUND(IF($C$33&lt;=0,0,$C$33*VisaCardAPR/12),2)</f>
        <v>0.0</v>
      </c>
      <c r="E33" s="12">
        <f>ROUND(IF($C$33&lt;=0,0,MIN(VisaCardMinPayment,$C$33+$D$33)),2)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88.1</v>
      </c>
      <c r="I33" s="12">
        <f>ROUND(IF($H$33&lt;=0,0,$H$33*MastercardAPR/12),2)</f>
        <v>1.69</v>
      </c>
      <c r="J33" s="12">
        <f>ROUND(IF($H$33&lt;=0,0,MIN(MastercardMinPayment,$H$33+$I$33)),2)</f>
        <v>89.79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3222.04</v>
      </c>
      <c r="N33" s="12">
        <f>ROUND(IF($M$33&lt;=0,0,$M$33*PersonalLoanAPR/12),2)</f>
        <v>34.64</v>
      </c>
      <c r="O33" s="12">
        <f>ROUND(IF($M$33&lt;=0,0,MIN(PersonalLoanMinPayment,$M$33+$N$33)),2)</f>
        <v>229.0</v>
      </c>
      <c r="P33" s="12">
        <f>ROUND(IF($M$33&lt;=0,0,MIN(MAX(0,$M$33+$N$33-$O$33),MAX(0,$AB$33-$F$33-$K$33))),2)</f>
        <v>526.0</v>
      </c>
      <c r="Q33" s="12">
        <f>ROUND(MAX(0,$M$33+$N$33-$O$33-$P$33),2)</f>
        <v>2501.68</v>
      </c>
      <c r="R33" s="12">
        <f>$V$32</f>
        <v>3007.49</v>
      </c>
      <c r="S33" s="12">
        <f>ROUND(IF($R$33&lt;=0,0,$R$33*AutoLoanAPR/12),2)</f>
        <v>17.29</v>
      </c>
      <c r="T33" s="12">
        <f>ROUND(IF($R$33&lt;=0,0,MIN(AutoLoanMinPayment,$R$33+$S$33)),2)</f>
        <v>269.0</v>
      </c>
      <c r="U33" s="12">
        <f>ROUND(IF($R$33&lt;=0,0,MIN(MAX(0,$R$33+$S$33-$T$33),MAX(0,$AB$33-$F$33-$K$33-$P$33))),2)</f>
        <v>0.0</v>
      </c>
      <c r="V33" s="12">
        <f>ROUND(MAX(0,$R$33+$S$33-$T$33-$U$33),2)</f>
        <v>2755.78</v>
      </c>
      <c r="W33" s="12">
        <f>$AA$32</f>
        <v>0.0</v>
      </c>
      <c r="X33" s="12">
        <f>ROUND(IF($W$33&lt;=0,0,$W$33*MedicalPlanAPR/12),2)</f>
        <v>0.0</v>
      </c>
      <c r="Y33" s="12">
        <f>ROUND(IF($W$33&lt;=0,0,MIN(MedicalPlanMinPayment,$W$33+$X$33)),2)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ROUND(ExtraPayment+IF($G$32&lt;=0,VisaCardMinPayment,0)+IF($L$32&lt;=0,MastercardMinPayment,0)+IF($Q$32&lt;=0,PersonalLoanMinPayment,0)+IF($V$32&lt;=0,AutoLoanMinPayment,0)+IF($AA$32&lt;=0,MedicalPlanMinPayment,0),2)</f>
        <v>526.0</v>
      </c>
      <c r="AC33" s="12">
        <f>ROUND(SUM($D$33,$I$33,$N$33,$S$33,$X$33),2)</f>
        <v>53.62</v>
      </c>
      <c r="AD33" s="12">
        <f>ROUND(SUM($G$33,$L$33,$Q$33,$V$33,$AA$33),2)</f>
        <v>5257.46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ROUND(IF($C$34&lt;=0,0,$C$34*VisaCardAPR/12),2)</f>
        <v>0.0</v>
      </c>
      <c r="E34" s="12">
        <f>ROUND(IF($C$34&lt;=0,0,MIN(VisaCardMinPayment,$C$34+$D$34)),2)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ROUND(IF($H$34&lt;=0,0,$H$34*MastercardAPR/12),2)</f>
        <v>0.0</v>
      </c>
      <c r="J34" s="12">
        <f>ROUND(IF($H$34&lt;=0,0,MIN(MastercardMinPayment,$H$34+$I$34)),2)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2501.68</v>
      </c>
      <c r="N34" s="12">
        <f>ROUND(IF($M$34&lt;=0,0,$M$34*PersonalLoanAPR/12),2)</f>
        <v>26.89</v>
      </c>
      <c r="O34" s="12">
        <f>ROUND(IF($M$34&lt;=0,0,MIN(PersonalLoanMinPayment,$M$34+$N$34)),2)</f>
        <v>229.0</v>
      </c>
      <c r="P34" s="12">
        <f>ROUND(IF($M$34&lt;=0,0,MIN(MAX(0,$M$34+$N$34-$O$34),MAX(0,$AB$34-$F$34-$K$34))),2)</f>
        <v>709.0</v>
      </c>
      <c r="Q34" s="12">
        <f>ROUND(MAX(0,$M$34+$N$34-$O$34-$P$34),2)</f>
        <v>1590.57</v>
      </c>
      <c r="R34" s="12">
        <f>$V$33</f>
        <v>2755.78</v>
      </c>
      <c r="S34" s="12">
        <f>ROUND(IF($R$34&lt;=0,0,$R$34*AutoLoanAPR/12),2)</f>
        <v>15.85</v>
      </c>
      <c r="T34" s="12">
        <f>ROUND(IF($R$34&lt;=0,0,MIN(AutoLoanMinPayment,$R$34+$S$34)),2)</f>
        <v>269.0</v>
      </c>
      <c r="U34" s="12">
        <f>ROUND(IF($R$34&lt;=0,0,MIN(MAX(0,$R$34+$S$34-$T$34),MAX(0,$AB$34-$F$34-$K$34-$P$34))),2)</f>
        <v>0.0</v>
      </c>
      <c r="V34" s="12">
        <f>ROUND(MAX(0,$R$34+$S$34-$T$34-$U$34),2)</f>
        <v>2502.63</v>
      </c>
      <c r="W34" s="12">
        <f>$AA$33</f>
        <v>0.0</v>
      </c>
      <c r="X34" s="12">
        <f>ROUND(IF($W$34&lt;=0,0,$W$34*MedicalPlanAPR/12),2)</f>
        <v>0.0</v>
      </c>
      <c r="Y34" s="12">
        <f>ROUND(IF($W$34&lt;=0,0,MIN(MedicalPlanMinPayment,$W$34+$X$34)),2)</f>
        <v>0.0</v>
      </c>
      <c r="Z34" s="12">
        <f>ROUND(IF($W$34&lt;=0,0,MIN(MAX(0,$W$34+$X$34-$Y$34),MAX(0,$AB$34-$F$34-$K$34-$P$34-$U$34))),2)</f>
        <v>0.0</v>
      </c>
      <c r="AA34" s="12">
        <f>ROUND(MAX(0,$W$34+$X$34-$Y$34-$Z$34),2)</f>
        <v>0.0</v>
      </c>
      <c r="AB34" s="12">
        <f>ROUND(ExtraPayment+IF($G$33&lt;=0,VisaCardMinPayment,0)+IF($L$33&lt;=0,MastercardMinPayment,0)+IF($Q$33&lt;=0,PersonalLoanMinPayment,0)+IF($V$33&lt;=0,AutoLoanMinPayment,0)+IF($AA$33&lt;=0,MedicalPlanMinPayment,0),2)</f>
        <v>709.0</v>
      </c>
      <c r="AC34" s="12">
        <f>ROUND(SUM($D$34,$I$34,$N$34,$S$34,$X$34),2)</f>
        <v>42.74</v>
      </c>
      <c r="AD34" s="12">
        <f>ROUND(SUM($G$34,$L$34,$Q$34,$V$34,$AA$34),2)</f>
        <v>4093.2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ROUND(IF($C$35&lt;=0,0,$C$35*VisaCardAPR/12),2)</f>
        <v>0.0</v>
      </c>
      <c r="E35" s="12">
        <f>ROUND(IF($C$35&lt;=0,0,MIN(VisaCardMinPayment,$C$35+$D$35)),2)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ROUND(IF($H$35&lt;=0,0,$H$35*MastercardAPR/12),2)</f>
        <v>0.0</v>
      </c>
      <c r="J35" s="12">
        <f>ROUND(IF($H$35&lt;=0,0,MIN(MastercardMinPayment,$H$35+$I$35)),2)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1590.57</v>
      </c>
      <c r="N35" s="12">
        <f>ROUND(IF($M$35&lt;=0,0,$M$35*PersonalLoanAPR/12),2)</f>
        <v>17.1</v>
      </c>
      <c r="O35" s="12">
        <f>ROUND(IF($M$35&lt;=0,0,MIN(PersonalLoanMinPayment,$M$35+$N$35)),2)</f>
        <v>229.0</v>
      </c>
      <c r="P35" s="12">
        <f>ROUND(IF($M$35&lt;=0,0,MIN(MAX(0,$M$35+$N$35-$O$35),MAX(0,$AB$35-$F$35-$K$35))),2)</f>
        <v>709.0</v>
      </c>
      <c r="Q35" s="12">
        <f>ROUND(MAX(0,$M$35+$N$35-$O$35-$P$35),2)</f>
        <v>669.67</v>
      </c>
      <c r="R35" s="12">
        <f>$V$34</f>
        <v>2502.63</v>
      </c>
      <c r="S35" s="12">
        <f>ROUND(IF($R$35&lt;=0,0,$R$35*AutoLoanAPR/12),2)</f>
        <v>14.39</v>
      </c>
      <c r="T35" s="12">
        <f>ROUND(IF($R$35&lt;=0,0,MIN(AutoLoanMinPayment,$R$35+$S$35)),2)</f>
        <v>269.0</v>
      </c>
      <c r="U35" s="12">
        <f>ROUND(IF($R$35&lt;=0,0,MIN(MAX(0,$R$35+$S$35-$T$35),MAX(0,$AB$35-$F$35-$K$35-$P$35))),2)</f>
        <v>0.0</v>
      </c>
      <c r="V35" s="12">
        <f>ROUND(MAX(0,$R$35+$S$35-$T$35-$U$35),2)</f>
        <v>2248.02</v>
      </c>
      <c r="W35" s="12">
        <f>$AA$34</f>
        <v>0.0</v>
      </c>
      <c r="X35" s="12">
        <f>ROUND(IF($W$35&lt;=0,0,$W$35*MedicalPlanAPR/12),2)</f>
        <v>0.0</v>
      </c>
      <c r="Y35" s="12">
        <f>ROUND(IF($W$35&lt;=0,0,MIN(MedicalPlanMinPayment,$W$35+$X$35)),2)</f>
        <v>0.0</v>
      </c>
      <c r="Z35" s="12">
        <f>ROUND(IF($W$35&lt;=0,0,MIN(MAX(0,$W$35+$X$35-$Y$35),MAX(0,$AB$35-$F$35-$K$35-$P$35-$U$35))),2)</f>
        <v>0.0</v>
      </c>
      <c r="AA35" s="12">
        <f>ROUND(MAX(0,$W$35+$X$35-$Y$35-$Z$35),2)</f>
        <v>0.0</v>
      </c>
      <c r="AB35" s="12">
        <f>ROUND(ExtraPayment+IF($G$34&lt;=0,VisaCardMinPayment,0)+IF($L$34&lt;=0,MastercardMinPayment,0)+IF($Q$34&lt;=0,PersonalLoanMinPayment,0)+IF($V$34&lt;=0,AutoLoanMinPayment,0)+IF($AA$34&lt;=0,MedicalPlanMinPayment,0),2)</f>
        <v>709.0</v>
      </c>
      <c r="AC35" s="12">
        <f>ROUND(SUM($D$35,$I$35,$N$35,$S$35,$X$35),2)</f>
        <v>31.49</v>
      </c>
      <c r="AD35" s="12">
        <f>ROUND(SUM($G$35,$L$35,$Q$35,$V$35,$AA$35),2)</f>
        <v>2917.69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ROUND(IF($C$36&lt;=0,0,$C$36*VisaCardAPR/12),2)</f>
        <v>0.0</v>
      </c>
      <c r="E36" s="12">
        <f>ROUND(IF($C$36&lt;=0,0,MIN(VisaCardMinPayment,$C$36+$D$36)),2)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ROUND(IF($H$36&lt;=0,0,$H$36*MastercardAPR/12),2)</f>
        <v>0.0</v>
      </c>
      <c r="J36" s="12">
        <f>ROUND(IF($H$36&lt;=0,0,MIN(MastercardMinPayment,$H$36+$I$36)),2)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669.67</v>
      </c>
      <c r="N36" s="12">
        <f>ROUND(IF($M$36&lt;=0,0,$M$36*PersonalLoanAPR/12),2)</f>
        <v>7.2</v>
      </c>
      <c r="O36" s="12">
        <f>ROUND(IF($M$36&lt;=0,0,MIN(PersonalLoanMinPayment,$M$36+$N$36)),2)</f>
        <v>229.0</v>
      </c>
      <c r="P36" s="12">
        <f>ROUND(IF($M$36&lt;=0,0,MIN(MAX(0,$M$36+$N$36-$O$36),MAX(0,$AB$36-$F$36-$K$36))),2)</f>
        <v>447.87</v>
      </c>
      <c r="Q36" s="12">
        <f>ROUND(MAX(0,$M$36+$N$36-$O$36-$P$36),2)</f>
        <v>0.0</v>
      </c>
      <c r="R36" s="12">
        <f>$V$35</f>
        <v>2248.02</v>
      </c>
      <c r="S36" s="12">
        <f>ROUND(IF($R$36&lt;=0,0,$R$36*AutoLoanAPR/12),2)</f>
        <v>12.93</v>
      </c>
      <c r="T36" s="12">
        <f>ROUND(IF($R$36&lt;=0,0,MIN(AutoLoanMinPayment,$R$36+$S$36)),2)</f>
        <v>269.0</v>
      </c>
      <c r="U36" s="12">
        <f>ROUND(IF($R$36&lt;=0,0,MIN(MAX(0,$R$36+$S$36-$T$36),MAX(0,$AB$36-$F$36-$K$36-$P$36))),2)</f>
        <v>261.13</v>
      </c>
      <c r="V36" s="12">
        <f>ROUND(MAX(0,$R$36+$S$36-$T$36-$U$36),2)</f>
        <v>1730.82</v>
      </c>
      <c r="W36" s="12">
        <f>$AA$35</f>
        <v>0.0</v>
      </c>
      <c r="X36" s="12">
        <f>ROUND(IF($W$36&lt;=0,0,$W$36*MedicalPlanAPR/12),2)</f>
        <v>0.0</v>
      </c>
      <c r="Y36" s="12">
        <f>ROUND(IF($W$36&lt;=0,0,MIN(MedicalPlanMinPayment,$W$36+$X$36)),2)</f>
        <v>0.0</v>
      </c>
      <c r="Z36" s="12">
        <f>ROUND(IF($W$36&lt;=0,0,MIN(MAX(0,$W$36+$X$36-$Y$36),MAX(0,$AB$36-$F$36-$K$36-$P$36-$U$36))),2)</f>
        <v>0.0</v>
      </c>
      <c r="AA36" s="12">
        <f>ROUND(MAX(0,$W$36+$X$36-$Y$36-$Z$36),2)</f>
        <v>0.0</v>
      </c>
      <c r="AB36" s="12">
        <f>ROUND(ExtraPayment+IF($G$35&lt;=0,VisaCardMinPayment,0)+IF($L$35&lt;=0,MastercardMinPayment,0)+IF($Q$35&lt;=0,PersonalLoanMinPayment,0)+IF($V$35&lt;=0,AutoLoanMinPayment,0)+IF($AA$35&lt;=0,MedicalPlanMinPayment,0),2)</f>
        <v>709.0</v>
      </c>
      <c r="AC36" s="12">
        <f>ROUND(SUM($D$36,$I$36,$N$36,$S$36,$X$36),2)</f>
        <v>20.13</v>
      </c>
      <c r="AD36" s="12">
        <f>ROUND(SUM($G$36,$L$36,$Q$36,$V$36,$AA$36),2)</f>
        <v>1730.82</v>
      </c>
    </row>
    <row r="37" spans="1:30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ROUND(IF($C$37&lt;=0,0,$C$37*VisaCardAPR/12),2)</f>
        <v>0.0</v>
      </c>
      <c r="E37" s="12">
        <f>ROUND(IF($C$37&lt;=0,0,MIN(VisaCardMinPayment,$C$37+$D$37)),2)</f>
        <v>0.0</v>
      </c>
      <c r="F37" s="12">
        <f>ROUND(IF($C$37&lt;=0,0,MIN(MAX(0,$C$37+$D$37-$E$37),$AB$37)),2)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ROUND(IF($H$37&lt;=0,0,$H$37*MastercardAPR/12),2)</f>
        <v>0.0</v>
      </c>
      <c r="J37" s="12">
        <f>ROUND(IF($H$37&lt;=0,0,MIN(MastercardMinPayment,$H$37+$I$37)),2)</f>
        <v>0.0</v>
      </c>
      <c r="K37" s="12">
        <f>ROUND(IF($H$37&lt;=0,0,MIN(MAX(0,$H$37+$I$37-$J$37),MAX(0,$AB$37-$F$37))),2)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ROUND(IF($M$37&lt;=0,0,$M$37*PersonalLoanAPR/12),2)</f>
        <v>0.0</v>
      </c>
      <c r="O37" s="12">
        <f>ROUND(IF($M$37&lt;=0,0,MIN(PersonalLoanMinPayment,$M$37+$N$37)),2)</f>
        <v>0.0</v>
      </c>
      <c r="P37" s="12">
        <f>ROUND(IF($M$37&lt;=0,0,MIN(MAX(0,$M$37+$N$37-$O$37),MAX(0,$AB$37-$F$37-$K$37))),2)</f>
        <v>0.0</v>
      </c>
      <c r="Q37" s="12">
        <f>ROUND(MAX(0,$M$37+$N$37-$O$37-$P$37),2)</f>
        <v>0.0</v>
      </c>
      <c r="R37" s="12">
        <f>$V$36</f>
        <v>1730.82</v>
      </c>
      <c r="S37" s="12">
        <f>ROUND(IF($R$37&lt;=0,0,$R$37*AutoLoanAPR/12),2)</f>
        <v>9.95</v>
      </c>
      <c r="T37" s="12">
        <f>ROUND(IF($R$37&lt;=0,0,MIN(AutoLoanMinPayment,$R$37+$S$37)),2)</f>
        <v>269.0</v>
      </c>
      <c r="U37" s="12">
        <f>ROUND(IF($R$37&lt;=0,0,MIN(MAX(0,$R$37+$S$37-$T$37),MAX(0,$AB$37-$F$37-$K$37-$P$37))),2)</f>
        <v>938.0</v>
      </c>
      <c r="V37" s="12">
        <f>ROUND(MAX(0,$R$37+$S$37-$T$37-$U$37),2)</f>
        <v>533.77</v>
      </c>
      <c r="W37" s="12">
        <f>$AA$36</f>
        <v>0.0</v>
      </c>
      <c r="X37" s="12">
        <f>ROUND(IF($W$37&lt;=0,0,$W$37*MedicalPlanAPR/12),2)</f>
        <v>0.0</v>
      </c>
      <c r="Y37" s="12">
        <f>ROUND(IF($W$37&lt;=0,0,MIN(MedicalPlanMinPayment,$W$37+$X$37)),2)</f>
        <v>0.0</v>
      </c>
      <c r="Z37" s="12">
        <f>ROUND(IF($W$37&lt;=0,0,MIN(MAX(0,$W$37+$X$37-$Y$37),MAX(0,$AB$37-$F$37-$K$37-$P$37-$U$37))),2)</f>
        <v>0.0</v>
      </c>
      <c r="AA37" s="12">
        <f>ROUND(MAX(0,$W$37+$X$37-$Y$37-$Z$37),2)</f>
        <v>0.0</v>
      </c>
      <c r="AB37" s="12">
        <f>ROUND(ExtraPayment+IF($G$36&lt;=0,VisaCardMinPayment,0)+IF($L$36&lt;=0,MastercardMinPayment,0)+IF($Q$36&lt;=0,PersonalLoanMinPayment,0)+IF($V$36&lt;=0,AutoLoanMinPayment,0)+IF($AA$36&lt;=0,MedicalPlanMinPayment,0),2)</f>
        <v>938.0</v>
      </c>
      <c r="AC37" s="12">
        <f>ROUND(SUM($D$37,$I$37,$N$37,$S$37,$X$37),2)</f>
        <v>9.95</v>
      </c>
      <c r="AD37" s="12">
        <f>ROUND(SUM($G$37,$L$37,$Q$37,$V$37,$AA$37),2)</f>
        <v>533.77</v>
      </c>
    </row>
    <row r="38" spans="1:30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ROUND(IF($C$38&lt;=0,0,$C$38*VisaCardAPR/12),2)</f>
        <v>0.0</v>
      </c>
      <c r="E38" s="12">
        <f>ROUND(IF($C$38&lt;=0,0,MIN(VisaCardMinPayment,$C$38+$D$38)),2)</f>
        <v>0.0</v>
      </c>
      <c r="F38" s="12">
        <f>ROUND(IF($C$38&lt;=0,0,MIN(MAX(0,$C$38+$D$38-$E$38),$AB$38)),2)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ROUND(IF($H$38&lt;=0,0,$H$38*MastercardAPR/12),2)</f>
        <v>0.0</v>
      </c>
      <c r="J38" s="12">
        <f>ROUND(IF($H$38&lt;=0,0,MIN(MastercardMinPayment,$H$38+$I$38)),2)</f>
        <v>0.0</v>
      </c>
      <c r="K38" s="12">
        <f>ROUND(IF($H$38&lt;=0,0,MIN(MAX(0,$H$38+$I$38-$J$38),MAX(0,$AB$38-$F$38))),2)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ROUND(IF($M$38&lt;=0,0,$M$38*PersonalLoanAPR/12),2)</f>
        <v>0.0</v>
      </c>
      <c r="O38" s="12">
        <f>ROUND(IF($M$38&lt;=0,0,MIN(PersonalLoanMinPayment,$M$38+$N$38)),2)</f>
        <v>0.0</v>
      </c>
      <c r="P38" s="12">
        <f>ROUND(IF($M$38&lt;=0,0,MIN(MAX(0,$M$38+$N$38-$O$38),MAX(0,$AB$38-$F$38-$K$38))),2)</f>
        <v>0.0</v>
      </c>
      <c r="Q38" s="12">
        <f>ROUND(MAX(0,$M$38+$N$38-$O$38-$P$38),2)</f>
        <v>0.0</v>
      </c>
      <c r="R38" s="12">
        <f>$V$37</f>
        <v>533.77</v>
      </c>
      <c r="S38" s="12">
        <f>ROUND(IF($R$38&lt;=0,0,$R$38*AutoLoanAPR/12),2)</f>
        <v>3.07</v>
      </c>
      <c r="T38" s="12">
        <f>ROUND(IF($R$38&lt;=0,0,MIN(AutoLoanMinPayment,$R$38+$S$38)),2)</f>
        <v>269.0</v>
      </c>
      <c r="U38" s="12">
        <f>ROUND(IF($R$38&lt;=0,0,MIN(MAX(0,$R$38+$S$38-$T$38),MAX(0,$AB$38-$F$38-$K$38-$P$38))),2)</f>
        <v>267.84</v>
      </c>
      <c r="V38" s="12">
        <f>ROUND(MAX(0,$R$38+$S$38-$T$38-$U$38),2)</f>
        <v>0.0</v>
      </c>
      <c r="W38" s="12">
        <f>$AA$37</f>
        <v>0.0</v>
      </c>
      <c r="X38" s="12">
        <f>ROUND(IF($W$38&lt;=0,0,$W$38*MedicalPlanAPR/12),2)</f>
        <v>0.0</v>
      </c>
      <c r="Y38" s="12">
        <f>ROUND(IF($W$38&lt;=0,0,MIN(MedicalPlanMinPayment,$W$38+$X$38)),2)</f>
        <v>0.0</v>
      </c>
      <c r="Z38" s="12">
        <f>ROUND(IF($W$38&lt;=0,0,MIN(MAX(0,$W$38+$X$38-$Y$38),MAX(0,$AB$38-$F$38-$K$38-$P$38-$U$38))),2)</f>
        <v>0.0</v>
      </c>
      <c r="AA38" s="12">
        <f>ROUND(MAX(0,$W$38+$X$38-$Y$38-$Z$38),2)</f>
        <v>0.0</v>
      </c>
      <c r="AB38" s="12">
        <f>ROUND(ExtraPayment+IF($G$37&lt;=0,VisaCardMinPayment,0)+IF($L$37&lt;=0,MastercardMinPayment,0)+IF($Q$37&lt;=0,PersonalLoanMinPayment,0)+IF($V$37&lt;=0,AutoLoanMinPayment,0)+IF($AA$37&lt;=0,MedicalPlanMinPayment,0),2)</f>
        <v>938.0</v>
      </c>
      <c r="AC38" s="12">
        <f>ROUND(SUM($D$38,$I$38,$N$38,$S$38,$X$38),2)</f>
        <v>3.07</v>
      </c>
      <c r="AD38" s="12">
        <f>ROUND(SUM($G$38,$L$38,$Q$38,$V$38,$AA$38),2)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&amp;LExcel Debt Payoff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/>
  </sheetViews>
  <sheetFormatPr defaultRowHeight="15"/>
  <cols>
    <col min="1" max="1" width="18.7109375" customWidth="1"/>
    <col min="2" max="5" width="16.7109375" customWidth="1"/>
    <col min="6" max="12" width="12.7109375" customWidth="1"/>
  </cols>
  <sheetData>
    <row r="1" spans="1:1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8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57</v>
      </c>
      <c r="B3" s="2"/>
      <c r="C3" s="2"/>
      <c r="D3" s="2"/>
    </row>
    <row r="4" spans="1:12">
      <c r="A4" s="13" t="s">
        <v>58</v>
      </c>
      <c r="B4" s="18" t="str">
        <f>TEXT(EDATE(StartDate,B5-1),"mmmm yyyy")</f>
        <v>January 2029</v>
      </c>
      <c r="C4" s="13" t="s">
        <v>62</v>
      </c>
      <c r="D4" s="12">
        <f>TotalDebt</f>
        <v>32350.0</v>
      </c>
    </row>
    <row r="5" spans="1:12">
      <c r="A5" s="13" t="s">
        <v>59</v>
      </c>
      <c r="B5" s="17">
        <f>MATCH(0,'Avalanche_Schedule'!AD5:AD38,0)</f>
        <v>34</v>
      </c>
      <c r="C5" s="13" t="s">
        <v>63</v>
      </c>
      <c r="D5" s="12">
        <f>TotalMinimums</f>
        <v>957.0</v>
      </c>
    </row>
    <row r="6" spans="1:12">
      <c r="A6" s="13" t="s">
        <v>60</v>
      </c>
      <c r="B6" s="12">
        <f>SUM('Avalanche_Schedule'!AC5:AC38)</f>
        <v>7732.38</v>
      </c>
      <c r="C6" s="13" t="s">
        <v>64</v>
      </c>
      <c r="D6" s="12">
        <f>ExtraPayment</f>
        <v>250.0</v>
      </c>
    </row>
    <row r="7" spans="1:12">
      <c r="A7" s="13" t="s">
        <v>61</v>
      </c>
      <c r="B7" s="12">
        <f>TotalDebt+B6</f>
        <v>40082.38</v>
      </c>
      <c r="C7" s="13" t="s">
        <v>43</v>
      </c>
      <c r="D7" s="12">
        <f>TotalMinimums+ExtraPayment</f>
        <v>1207.0</v>
      </c>
    </row>
    <row r="8" spans="1:12">
      <c r="A8" s="15" t="s">
        <v>65</v>
      </c>
      <c r="B8" s="15"/>
      <c r="C8" s="15"/>
      <c r="D8" s="15"/>
    </row>
    <row r="10" spans="1:12">
      <c r="A10" s="2" t="s">
        <v>66</v>
      </c>
      <c r="B10" s="2"/>
      <c r="C10" s="2"/>
      <c r="D10" s="2"/>
      <c r="E10" s="2"/>
    </row>
    <row r="11" spans="1:12">
      <c r="A11" s="7" t="s">
        <v>24</v>
      </c>
      <c r="B11" s="7" t="s">
        <v>25</v>
      </c>
      <c r="C11" s="7" t="s">
        <v>26</v>
      </c>
      <c r="D11" s="7" t="s">
        <v>27</v>
      </c>
      <c r="E11" s="7" t="s">
        <v>67</v>
      </c>
    </row>
    <row r="12" spans="1:12">
      <c r="A12" s="3" t="str">
        <f>Inputs!A5</f>
        <v>Medical Payment Plan</v>
      </c>
      <c r="B12" s="12">
        <f>Inputs!B5</f>
        <v>650.0</v>
      </c>
      <c r="C12" s="19">
        <f>Inputs!C5</f>
        <v>0.0</v>
      </c>
      <c r="D12" s="12">
        <f>Inputs!D5</f>
        <v>30.0</v>
      </c>
      <c r="E12" s="16">
        <f>RANK(C12,$C$12:$C$16,0)</f>
        <v>5</v>
      </c>
    </row>
    <row r="13" spans="1:12">
      <c r="A13" s="3" t="str">
        <f>Inputs!A6</f>
        <v>Mastercard</v>
      </c>
      <c r="B13" s="12">
        <f>Inputs!B6</f>
        <v>6100.0</v>
      </c>
      <c r="C13" s="19">
        <f>Inputs!C6</f>
        <v>0.2299</v>
      </c>
      <c r="D13" s="12">
        <f>Inputs!D6</f>
        <v>183.0</v>
      </c>
      <c r="E13" s="16">
        <f>RANK(C13,$C$12:$C$16,0)</f>
        <v>2</v>
      </c>
    </row>
    <row r="14" spans="1:12">
      <c r="A14" s="3" t="str">
        <f>Inputs!A7</f>
        <v>Visa Card</v>
      </c>
      <c r="B14" s="12">
        <f>Inputs!B7</f>
        <v>8200.0</v>
      </c>
      <c r="C14" s="19">
        <f>Inputs!C7</f>
        <v>0.2799</v>
      </c>
      <c r="D14" s="12">
        <f>Inputs!D7</f>
        <v>246.0</v>
      </c>
      <c r="E14" s="16">
        <f>RANK(C14,$C$12:$C$16,0)</f>
        <v>1</v>
      </c>
    </row>
    <row r="15" spans="1:12">
      <c r="A15" s="3" t="str">
        <f>Inputs!A8</f>
        <v>Personal Loan</v>
      </c>
      <c r="B15" s="12">
        <f>Inputs!B8</f>
        <v>7900.0</v>
      </c>
      <c r="C15" s="19">
        <f>Inputs!C8</f>
        <v>0.129</v>
      </c>
      <c r="D15" s="12">
        <f>Inputs!D8</f>
        <v>229.0</v>
      </c>
      <c r="E15" s="16">
        <f>RANK(C15,$C$12:$C$16,0)</f>
        <v>3</v>
      </c>
    </row>
    <row r="16" spans="1:12">
      <c r="A16" s="3" t="str">
        <f>Inputs!A9</f>
        <v>Auto Loan</v>
      </c>
      <c r="B16" s="12">
        <f>Inputs!B9</f>
        <v>9500.0</v>
      </c>
      <c r="C16" s="19">
        <f>Inputs!C9</f>
        <v>0.069</v>
      </c>
      <c r="D16" s="12">
        <f>Inputs!D9</f>
        <v>269.0</v>
      </c>
      <c r="E16" s="16">
        <f>RANK(C16,$C$12:$C$16,0)</f>
        <v>4</v>
      </c>
    </row>
  </sheetData>
  <mergeCells count="5">
    <mergeCell ref="A1:L1"/>
    <mergeCell ref="A2:L2"/>
    <mergeCell ref="A3:D3"/>
    <mergeCell ref="A8:D8"/>
    <mergeCell ref="A10:E10"/>
  </mergeCells>
  <pageMargins left="0.7" right="0.7" top="0.75" bottom="0.75" header="0.3" footer="0.3"/>
  <headerFooter>
    <oddFooter>&amp;LExcel Debt Payoff Dashboard&amp;CDebtPayoffSpreadsheet.org&amp;Rv1.0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68</v>
      </c>
      <c r="B2" s="1"/>
    </row>
    <row r="4" spans="1:2">
      <c r="A4" s="2" t="s">
        <v>69</v>
      </c>
      <c r="B4" s="20" t="s">
        <v>70</v>
      </c>
    </row>
    <row r="5" spans="1:2">
      <c r="B5" s="20" t="s">
        <v>71</v>
      </c>
    </row>
    <row r="6" spans="1:2">
      <c r="B6" s="20" t="s">
        <v>72</v>
      </c>
    </row>
    <row r="8" spans="1:2">
      <c r="A8" s="2" t="s">
        <v>73</v>
      </c>
      <c r="B8" s="20" t="s">
        <v>74</v>
      </c>
    </row>
    <row r="9" spans="1:2">
      <c r="B9" s="20" t="s">
        <v>75</v>
      </c>
    </row>
    <row r="10" spans="1:2">
      <c r="B10" s="20" t="s">
        <v>76</v>
      </c>
    </row>
    <row r="12" spans="1:2">
      <c r="A12" s="2" t="s">
        <v>77</v>
      </c>
      <c r="B12" s="20" t="s">
        <v>78</v>
      </c>
    </row>
    <row r="13" spans="1:2">
      <c r="B13" s="20" t="s">
        <v>79</v>
      </c>
    </row>
    <row r="14" spans="1:2">
      <c r="B14" s="20" t="s">
        <v>80</v>
      </c>
    </row>
    <row r="17" spans="1:2">
      <c r="A17" s="2" t="s">
        <v>81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&amp;LExcel Debt Payoff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Avalanche_Schedule</vt:lpstr>
      <vt:lpstr>Dashboard</vt:lpstr>
      <vt:lpstr>Bonus_Tips</vt:lpstr>
      <vt:lpstr>AutoLoanAPR</vt:lpstr>
      <vt:lpstr>AutoLoanBalance</vt:lpstr>
      <vt:lpstr>AutoLoanMinPayment</vt:lpstr>
      <vt:lpstr>ExtraPayment</vt:lpstr>
      <vt:lpstr>MastercardAPR</vt:lpstr>
      <vt:lpstr>MastercardBalance</vt:lpstr>
      <vt:lpstr>MastercardMinPayment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2026-03-07T09:51:31Z</dcterms:created>
  <dcterms:modified xsi:type="dcterms:W3CDTF">2026-03-07T09:51:31Z</dcterms:modified>
</cp:coreProperties>
</file>