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Check_In_Log" sheetId="4" r:id="rId4"/>
    <sheet name="Bonus_Tips" sheetId="5" r:id="rId5"/>
  </sheets>
  <definedNames>
    <definedName name="AmexCardAPR">Inputs!$C$6</definedName>
    <definedName name="AmexCardBalance">Inputs!$B$6</definedName>
    <definedName name="AmexCardMinPayment">Inputs!$D$6</definedName>
    <definedName name="AutoLoanAPR">Inputs!$C$9</definedName>
    <definedName name="AutoLoanBalance">Inputs!$B$9</definedName>
    <definedName name="AutoLoanMinPayment">Inputs!$D$9</definedName>
    <definedName name="BackupEditor">Inputs!$B$14</definedName>
    <definedName name="ExtraPayment">Inputs!$B$12</definedName>
    <definedName name="FurnitureCardAPR">Inputs!$C$5</definedName>
    <definedName name="FurnitureCardBalance">Inputs!$B$5</definedName>
    <definedName name="FurnitureCardMinPayment">Inputs!$D$5</definedName>
    <definedName name="LastReview">Inputs!$B$16</definedName>
    <definedName name="PersonalLoanAPR">Inputs!$C$8</definedName>
    <definedName name="PersonalLoanBalance">Inputs!$B$8</definedName>
    <definedName name="PersonalLoanMinPayment">Inputs!$D$8</definedName>
    <definedName name="PrimaryEditor">Inputs!$B$13</definedName>
    <definedName name="ReviewDay">Inputs!$B$15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<sst xmlns="http://schemas.openxmlformats.org/spreadsheetml/2006/main" count="130" uniqueCount="92">
  <si>
    <t>Google Sheets Monthly Check-In Log</t>
  </si>
  <si>
    <t>Website</t>
  </si>
  <si>
    <t>Debt Payoff Spreadsheet</t>
  </si>
  <si>
    <t>Who It Helps</t>
  </si>
  <si>
    <t>A review log for households that want the monthly debt update, focus account, and balance change in one shared sheet.</t>
  </si>
  <si>
    <t>About This Template</t>
  </si>
  <si>
    <t>This file uses the same five-debt article scenario and pulls the first six review cycles into one screen.</t>
  </si>
  <si>
    <t>The Check_In_Log sheet is designed for a monthly money meeting where both people need the same balance snapshot and next focus debt.</t>
  </si>
  <si>
    <t>The supporting schedule stays in the workbook so the log remains tied to the same payoff math as the dashboard and comparison files.</t>
  </si>
  <si>
    <t>How to Use</t>
  </si>
  <si>
    <t>1. Open the Inputs sheet to review the article scenario and the shared review fields.</t>
  </si>
  <si>
    <t>2. Leave the yellow cells alone if you want the article numbers, or edit them to see how the next six reviews would change.</t>
  </si>
  <si>
    <t>3. Use the Check_In_Log sheet during a monthly review to see ending balance, interest, and current focus debt without opening the full schedule.</t>
  </si>
  <si>
    <t>4. Open Avalanche_Schedule only when you want to audit the month-by-month math behind the review rows.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</si>
  <si>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</si>
  <si>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</si>
  <si>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</si>
  <si>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</si>
  <si>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</si>
  <si>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</si>
  <si>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</si>
  <si>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</si>
  <si>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Google Sheets Monthly Check-In Log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</si>
  <si>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</si>
  <si>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</si>
  <si>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</si>
  <si>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</si>
  <si>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</si>
  <si>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</si>
  <si>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</si>
  <si>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Furniture Promo Card</t>
  </si>
  <si>
    <t>Promo card</t>
  </si>
  <si>
    <t>Article sample values</t>
  </si>
  <si>
    <t>Amex 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</si>
  <si>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</si>
  <si>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</si>
  <si>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</si>
  <si>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</si>
  <si>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</si>
  <si>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</si>
  <si>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</si>
  <si>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</si>
  <si>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This version keeps the shared review fields on the same sheet as the debt inputs so the monthly check-in stays tied to current statement data.</t>
  </si>
  <si>
    <t>Primary Editor</t>
  </si>
  <si>
    <t>Household Lead</t>
  </si>
  <si>
    <t>Backup Editor</t>
  </si>
  <si>
    <t>Budget Partner</t>
  </si>
  <si>
    <t>Review Day</t>
  </si>
  <si>
    <t>Friday</t>
  </si>
  <si>
    <t>Last Review</t>
  </si>
  <si>
    <t>These four fields keep a shared Google Sheets copy organized after import so both people know who updates balances and when the next review happens.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</si>
  <si>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</si>
  <si>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</si>
  <si>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</si>
  <si>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</si>
  <si>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</si>
  <si>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</si>
  <si>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</si>
  <si>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</si>
  <si>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</si>
  <si>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</si>
  <si>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</si>
  <si>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</si>
  <si>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Monthly Debt Review Log</t>
  </si>
  <si>
    <t>First six review cycles from the avalanche plan</t>
  </si>
  <si>
    <t>Review Date</t>
  </si>
  <si>
    <t>Outlay</t>
  </si>
  <si>
    <t>Ending Balance</t>
  </si>
  <si>
    <t>Monthly Interest</t>
  </si>
  <si>
    <t>Interest To Date</t>
  </si>
  <si>
    <t>Debts Closed</t>
  </si>
  <si>
    <t>Focus Account</t>
  </si>
  <si>
    <t>Balance Change</t>
  </si>
  <si>
    <t>Status</t>
  </si>
  <si>
    <t>Use this view during a monthly check-in when you want the current balance trend and focus account without scrolling through the full schedule.</t>
  </si>
  <si>
    <t>Next Review</t>
  </si>
  <si>
    <t>Current Focus</t>
  </si>
  <si>
    <t>Closed By Sep</t>
  </si>
  <si>
    <t>Google Sheets Monthly Check-In Log Tips</t>
  </si>
  <si>
    <t>How To Run The Check-In</t>
  </si>
  <si>
    <t>- Review the same columns in the same order every month so balance changes stand out quickly.</t>
  </si>
  <si>
    <t>- If the focus account does not match the highest-priority debt you expected, check for a rate or minimum-payment change first.</t>
  </si>
  <si>
    <t>- A short status note keeps the shared file usable even when one person misses the meeting.</t>
  </si>
  <si>
    <t>What To Watch For</t>
  </si>
  <si>
    <t>- A 0.00% promotional balance looks harmless until the promotional terms change, so verify the statement before leaving it for later.</t>
  </si>
  <si>
    <t>- If interest paid to date rises faster than expected, look for new charges or a smaller extra payment.</t>
  </si>
  <si>
    <t>- The balance-change column is usually the fastest way to spot a month where the plan slipped.</t>
  </si>
  <si>
    <t>Why A Shared Log Helps</t>
  </si>
  <si>
    <t>- One person can update the balances while the other reviews the trend without opening multiple files.</t>
  </si>
  <si>
    <t>- A six-row log is easier to understand during a quick kitchen-table review than a full 29-month schedule.</t>
  </si>
  <si>
    <t>- Once a debt closes, the log makes the extra payment rollover visible right away.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</si>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</sst>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google-sheets-monthly-check-in-log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&amp;LGoogle Sheets Monthly Check-In Log&amp;CDebtPayoffSpreadsheet.org&amp;Rv1.0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6.7109375" customWidth="1"/>
    <col min="3" max="3" width="12.7109375" customWidth="1"/>
    <col min="4" max="5" width="14.7109375" customWidth="1"/>
    <col min="6" max="6" width="28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900</v>
      </c>
      <c r="C5" s="10">
        <v>0</v>
      </c>
      <c r="D5" s="9">
        <v>45</v>
      </c>
      <c r="E5" s="3" t="s">
        <v>31</v>
      </c>
      <c r="F5" s="3" t="s">
        <v>32</v>
      </c>
    </row>
    <row r="6" spans="1:6">
      <c r="A6" s="8" t="s">
        <v>33</v>
      </c>
      <c r="B6" s="9">
        <v>5200</v>
      </c>
      <c r="C6" s="10">
        <v>0.2699</v>
      </c>
      <c r="D6" s="9">
        <v>156</v>
      </c>
      <c r="E6" s="3" t="s">
        <v>34</v>
      </c>
      <c r="F6" s="3" t="s">
        <v>32</v>
      </c>
    </row>
    <row r="7" spans="1:6">
      <c r="A7" s="8" t="s">
        <v>35</v>
      </c>
      <c r="B7" s="9">
        <v>4600</v>
      </c>
      <c r="C7" s="10">
        <v>0.2199</v>
      </c>
      <c r="D7" s="9">
        <v>138</v>
      </c>
      <c r="E7" s="3" t="s">
        <v>34</v>
      </c>
      <c r="F7" s="3" t="s">
        <v>32</v>
      </c>
    </row>
    <row r="8" spans="1:6">
      <c r="A8" s="8" t="s">
        <v>36</v>
      </c>
      <c r="B8" s="9">
        <v>6900</v>
      </c>
      <c r="C8" s="10">
        <v>0.1249</v>
      </c>
      <c r="D8" s="9">
        <v>207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312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30100.0</v>
      </c>
      <c r="C10" s="11"/>
      <c r="D10" s="12">
        <f>SUM(D5:D9)</f>
        <v>858.0</v>
      </c>
      <c r="E10" s="11"/>
      <c r="F10" s="11"/>
    </row>
    <row r="11" spans="1:6">
      <c r="A11" s="13" t="s">
        <v>40</v>
      </c>
      <c r="B11" s="14">
        <v>46113</v>
      </c>
      <c r="C11" s="15" t="s">
        <v>42</v>
      </c>
      <c r="D11" s="15"/>
      <c r="E11" s="15"/>
      <c r="F11" s="15"/>
    </row>
    <row r="12" spans="1:6">
      <c r="A12" s="13" t="s">
        <v>41</v>
      </c>
      <c r="B12" s="9">
        <v>350</v>
      </c>
      <c r="C12" s="15"/>
      <c r="D12" s="15"/>
      <c r="E12" s="15"/>
      <c r="F12" s="15"/>
    </row>
    <row r="13" spans="1:6">
      <c r="A13" s="13" t="s">
        <v>43</v>
      </c>
      <c r="B13" s="8" t="s">
        <v>44</v>
      </c>
      <c r="C13" s="15" t="s">
        <v>50</v>
      </c>
      <c r="D13" s="15"/>
      <c r="E13" s="15"/>
      <c r="F13" s="15"/>
    </row>
    <row r="14" spans="1:6">
      <c r="A14" s="13" t="s">
        <v>45</v>
      </c>
      <c r="B14" s="8" t="s">
        <v>46</v>
      </c>
      <c r="C14" s="15"/>
      <c r="D14" s="15"/>
      <c r="E14" s="15"/>
      <c r="F14" s="15"/>
    </row>
    <row r="15" spans="1:6">
      <c r="A15" s="13" t="s">
        <v>47</v>
      </c>
      <c r="B15" s="8" t="s">
        <v>48</v>
      </c>
      <c r="C15" s="15"/>
      <c r="D15" s="15"/>
      <c r="E15" s="15"/>
      <c r="F15" s="15"/>
    </row>
    <row r="16" spans="1:6">
      <c r="A16" s="13" t="s">
        <v>49</v>
      </c>
      <c r="B16" s="14">
        <v>46115</v>
      </c>
      <c r="C16" s="15"/>
      <c r="D16" s="15"/>
      <c r="E16" s="15"/>
      <c r="F16" s="15"/>
    </row>
  </sheetData>
  <mergeCells count="4">
    <mergeCell ref="A1:F1"/>
    <mergeCell ref="A2:F2"/>
    <mergeCell ref="C11:F12"/>
    <mergeCell ref="C13:F16"/>
  </mergeCells>
  <pageMargins left="0.7" right="0.7" top="0.75" bottom="0.75" header="0.3" footer="0.3"/>
  <headerFooter>
    <oddFooter>&amp;LGoogle Sheets Monthly Check-In Log&amp;CDebtPayoffSpreadsheet.org&amp;Rv1.0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57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58</v>
      </c>
      <c r="B4" s="7" t="s">
        <v>59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51</v>
      </c>
      <c r="N4" s="7" t="s">
        <v>52</v>
      </c>
      <c r="O4" s="7" t="s">
        <v>53</v>
      </c>
      <c r="P4" s="7" t="s">
        <v>54</v>
      </c>
      <c r="Q4" s="7" t="s">
        <v>55</v>
      </c>
      <c r="R4" s="7" t="s">
        <v>51</v>
      </c>
      <c r="S4" s="7" t="s">
        <v>52</v>
      </c>
      <c r="T4" s="7" t="s">
        <v>53</v>
      </c>
      <c r="U4" s="7" t="s">
        <v>54</v>
      </c>
      <c r="V4" s="7" t="s">
        <v>55</v>
      </c>
      <c r="W4" s="7" t="s">
        <v>51</v>
      </c>
      <c r="X4" s="7" t="s">
        <v>52</v>
      </c>
      <c r="Y4" s="7" t="s">
        <v>53</v>
      </c>
      <c r="Z4" s="7" t="s">
        <v>54</v>
      </c>
      <c r="AA4" s="7" t="s">
        <v>55</v>
      </c>
      <c r="AB4" s="7" t="s">
        <v>60</v>
      </c>
      <c r="AC4" s="7" t="s">
        <v>61</v>
      </c>
      <c r="AD4" s="7" t="s">
        <v>62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AmexCardBalance</f>
        <v>5200.0</v>
      </c>
      <c r="D5" s="12">
        <f>ROUND(IF($C$5&lt;=0,0,$C$5*AmexCardAPR/12),2)</f>
        <v>116.96</v>
      </c>
      <c r="E5" s="12">
        <f>ROUND(IF($C$5&lt;=0,0,MIN(AmexCardMinPayment,$C$5+$D$5)),2)</f>
        <v>156.0</v>
      </c>
      <c r="F5" s="12">
        <f>ROUND(IF($C$5&lt;=0,0,MIN(MAX(0,$C$5+$D$5-$E$5),$AB$5)),2)</f>
        <v>350.0</v>
      </c>
      <c r="G5" s="12">
        <f>ROUND(MAX(0,$C$5+$D$5-$E$5-$F$5),2)</f>
        <v>4810.96</v>
      </c>
      <c r="H5" s="12">
        <f>VisaCardBalance</f>
        <v>4600.0</v>
      </c>
      <c r="I5" s="12">
        <f>ROUND(IF($H$5&lt;=0,0,$H$5*VisaCardAPR/12),2)</f>
        <v>84.3</v>
      </c>
      <c r="J5" s="12">
        <f>ROUND(IF($H$5&lt;=0,0,MIN(VisaCardMinPayment,$H$5+$I$5)),2)</f>
        <v>138.0</v>
      </c>
      <c r="K5" s="12">
        <f>ROUND(IF($H$5&lt;=0,0,MIN(MAX(0,$H$5+$I$5-$J$5),MAX(0,$AB$5-$F$5))),2)</f>
        <v>0.0</v>
      </c>
      <c r="L5" s="12">
        <f>ROUND(MAX(0,$H$5+$I$5-$J$5-$K$5),2)</f>
        <v>4546.3</v>
      </c>
      <c r="M5" s="12">
        <f>PersonalLoanBalance</f>
        <v>6900.0</v>
      </c>
      <c r="N5" s="12">
        <f>ROUND(IF($M$5&lt;=0,0,$M$5*PersonalLoanAPR/12),2)</f>
        <v>71.82</v>
      </c>
      <c r="O5" s="12">
        <f>ROUND(IF($M$5&lt;=0,0,MIN(PersonalLoanMinPayment,$M$5+$N$5)),2)</f>
        <v>207.0</v>
      </c>
      <c r="P5" s="12">
        <f>ROUND(IF($M$5&lt;=0,0,MIN(MAX(0,$M$5+$N$5-$O$5),MAX(0,$AB$5-$F$5-$K$5))),2)</f>
        <v>0.0</v>
      </c>
      <c r="Q5" s="12">
        <f>ROUND(MAX(0,$M$5+$N$5-$O$5-$P$5),2)</f>
        <v>6764.82</v>
      </c>
      <c r="R5" s="12">
        <f>AutoLoanBalance</f>
        <v>12500.0</v>
      </c>
      <c r="S5" s="12">
        <f>ROUND(IF($R$5&lt;=0,0,$R$5*AutoLoanAPR/12),2)</f>
        <v>59.9</v>
      </c>
      <c r="T5" s="12">
        <f>ROUND(IF($R$5&lt;=0,0,MIN(AutoLoanMinPayment,$R$5+$S$5)),2)</f>
        <v>312.0</v>
      </c>
      <c r="U5" s="12">
        <f>ROUND(IF($R$5&lt;=0,0,MIN(MAX(0,$R$5+$S$5-$T$5),MAX(0,$AB$5-$F$5-$K$5-$P$5))),2)</f>
        <v>0.0</v>
      </c>
      <c r="V5" s="12">
        <f>ROUND(MAX(0,$R$5+$S$5-$T$5-$U$5),2)</f>
        <v>12247.9</v>
      </c>
      <c r="W5" s="12">
        <f>FurnitureCardBalance</f>
        <v>900.0</v>
      </c>
      <c r="X5" s="12">
        <f>ROUND(IF($W$5&lt;=0,0,$W$5*FurnitureCardAPR/12),2)</f>
        <v>0.0</v>
      </c>
      <c r="Y5" s="12">
        <f>ROUND(IF($W$5&lt;=0,0,MIN(FurnitureCardMinPayment,$W$5+$X$5)),2)</f>
        <v>45.0</v>
      </c>
      <c r="Z5" s="12">
        <f>ROUND(IF($W$5&lt;=0,0,MIN(MAX(0,$W$5+$X$5-$Y$5),MAX(0,$AB$5-$F$5-$K$5-$P$5-$U$5))),2)</f>
        <v>0.0</v>
      </c>
      <c r="AA5" s="12">
        <f>ROUND(MAX(0,$W$5+$X$5-$Y$5-$Z$5),2)</f>
        <v>855.0</v>
      </c>
      <c r="AB5" s="12">
        <f>ROUND(ExtraPayment,2)</f>
        <v>350.0</v>
      </c>
      <c r="AC5" s="12">
        <f>ROUND(SUM($D$5,$I$5,$N$5,$S$5,$X$5),2)</f>
        <v>332.98</v>
      </c>
      <c r="AD5" s="12">
        <f>ROUND(SUM($G$5,$L$5,$Q$5,$V$5,$AA$5),2)</f>
        <v>29224.98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4810.96</v>
      </c>
      <c r="D6" s="12">
        <f>ROUND(IF($C$6&lt;=0,0,$C$6*AmexCardAPR/12),2)</f>
        <v>108.21</v>
      </c>
      <c r="E6" s="12">
        <f>ROUND(IF($C$6&lt;=0,0,MIN(AmexCardMinPayment,$C$6+$D$6)),2)</f>
        <v>156.0</v>
      </c>
      <c r="F6" s="12">
        <f>ROUND(IF($C$6&lt;=0,0,MIN(MAX(0,$C$6+$D$6-$E$6),$AB$6)),2)</f>
        <v>350.0</v>
      </c>
      <c r="G6" s="12">
        <f>ROUND(MAX(0,$C$6+$D$6-$E$6-$F$6),2)</f>
        <v>4413.17</v>
      </c>
      <c r="H6" s="12">
        <f>$L$5</f>
        <v>4546.3</v>
      </c>
      <c r="I6" s="12">
        <f>ROUND(IF($H$6&lt;=0,0,$H$6*VisaCardAPR/12),2)</f>
        <v>83.31</v>
      </c>
      <c r="J6" s="12">
        <f>ROUND(IF($H$6&lt;=0,0,MIN(VisaCardMinPayment,$H$6+$I$6)),2)</f>
        <v>138.0</v>
      </c>
      <c r="K6" s="12">
        <f>ROUND(IF($H$6&lt;=0,0,MIN(MAX(0,$H$6+$I$6-$J$6),MAX(0,$AB$6-$F$6))),2)</f>
        <v>0.0</v>
      </c>
      <c r="L6" s="12">
        <f>ROUND(MAX(0,$H$6+$I$6-$J$6-$K$6),2)</f>
        <v>4491.61</v>
      </c>
      <c r="M6" s="12">
        <f>$Q$5</f>
        <v>6764.82</v>
      </c>
      <c r="N6" s="12">
        <f>ROUND(IF($M$6&lt;=0,0,$M$6*PersonalLoanAPR/12),2)</f>
        <v>70.41</v>
      </c>
      <c r="O6" s="12">
        <f>ROUND(IF($M$6&lt;=0,0,MIN(PersonalLoanMinPayment,$M$6+$N$6)),2)</f>
        <v>207.0</v>
      </c>
      <c r="P6" s="12">
        <f>ROUND(IF($M$6&lt;=0,0,MIN(MAX(0,$M$6+$N$6-$O$6),MAX(0,$AB$6-$F$6-$K$6))),2)</f>
        <v>0.0</v>
      </c>
      <c r="Q6" s="12">
        <f>ROUND(MAX(0,$M$6+$N$6-$O$6-$P$6),2)</f>
        <v>6628.23</v>
      </c>
      <c r="R6" s="12">
        <f>$V$5</f>
        <v>12247.9</v>
      </c>
      <c r="S6" s="12">
        <f>ROUND(IF($R$6&lt;=0,0,$R$6*AutoLoanAPR/12),2)</f>
        <v>58.69</v>
      </c>
      <c r="T6" s="12">
        <f>ROUND(IF($R$6&lt;=0,0,MIN(AutoLoanMinPayment,$R$6+$S$6)),2)</f>
        <v>312.0</v>
      </c>
      <c r="U6" s="12">
        <f>ROUND(IF($R$6&lt;=0,0,MIN(MAX(0,$R$6+$S$6-$T$6),MAX(0,$AB$6-$F$6-$K$6-$P$6))),2)</f>
        <v>0.0</v>
      </c>
      <c r="V6" s="12">
        <f>ROUND(MAX(0,$R$6+$S$6-$T$6-$U$6),2)</f>
        <v>11994.59</v>
      </c>
      <c r="W6" s="12">
        <f>$AA$5</f>
        <v>855.0</v>
      </c>
      <c r="X6" s="12">
        <f>ROUND(IF($W$6&lt;=0,0,$W$6*FurnitureCardAPR/12),2)</f>
        <v>0.0</v>
      </c>
      <c r="Y6" s="12">
        <f>ROUND(IF($W$6&lt;=0,0,MIN(FurnitureCardMinPayment,$W$6+$X$6)),2)</f>
        <v>45.0</v>
      </c>
      <c r="Z6" s="12">
        <f>ROUND(IF($W$6&lt;=0,0,MIN(MAX(0,$W$6+$X$6-$Y$6),MAX(0,$AB$6-$F$6-$K$6-$P$6-$U$6))),2)</f>
        <v>0.0</v>
      </c>
      <c r="AA6" s="12">
        <f>ROUND(MAX(0,$W$6+$X$6-$Y$6-$Z$6),2)</f>
        <v>810.0</v>
      </c>
      <c r="AB6" s="12">
        <f>ROUND(ExtraPayment+IF($G$5&lt;=0,AmexCardMinPayment,0)+IF($L$5&lt;=0,VisaCardMinPayment,0)+IF($Q$5&lt;=0,PersonalLoanMinPayment,0)+IF($V$5&lt;=0,AutoLoanMinPayment,0)+IF($AA$5&lt;=0,FurnitureCardMinPayment,0),2)</f>
        <v>350.0</v>
      </c>
      <c r="AC6" s="12">
        <f>ROUND(SUM($D$6,$I$6,$N$6,$S$6,$X$6),2)</f>
        <v>320.62</v>
      </c>
      <c r="AD6" s="12">
        <f>ROUND(SUM($G$6,$L$6,$Q$6,$V$6,$AA$6),2)</f>
        <v>28337.6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4413.17</v>
      </c>
      <c r="D7" s="12">
        <f>ROUND(IF($C$7&lt;=0,0,$C$7*AmexCardAPR/12),2)</f>
        <v>99.26</v>
      </c>
      <c r="E7" s="12">
        <f>ROUND(IF($C$7&lt;=0,0,MIN(AmexCardMinPayment,$C$7+$D$7)),2)</f>
        <v>156.0</v>
      </c>
      <c r="F7" s="12">
        <f>ROUND(IF($C$7&lt;=0,0,MIN(MAX(0,$C$7+$D$7-$E$7),$AB$7)),2)</f>
        <v>350.0</v>
      </c>
      <c r="G7" s="12">
        <f>ROUND(MAX(0,$C$7+$D$7-$E$7-$F$7),2)</f>
        <v>4006.43</v>
      </c>
      <c r="H7" s="12">
        <f>$L$6</f>
        <v>4491.61</v>
      </c>
      <c r="I7" s="12">
        <f>ROUND(IF($H$7&lt;=0,0,$H$7*VisaCardAPR/12),2)</f>
        <v>82.31</v>
      </c>
      <c r="J7" s="12">
        <f>ROUND(IF($H$7&lt;=0,0,MIN(VisaCardMinPayment,$H$7+$I$7)),2)</f>
        <v>138.0</v>
      </c>
      <c r="K7" s="12">
        <f>ROUND(IF($H$7&lt;=0,0,MIN(MAX(0,$H$7+$I$7-$J$7),MAX(0,$AB$7-$F$7))),2)</f>
        <v>0.0</v>
      </c>
      <c r="L7" s="12">
        <f>ROUND(MAX(0,$H$7+$I$7-$J$7-$K$7),2)</f>
        <v>4435.92</v>
      </c>
      <c r="M7" s="12">
        <f>$Q$6</f>
        <v>6628.23</v>
      </c>
      <c r="N7" s="12">
        <f>ROUND(IF($M$7&lt;=0,0,$M$7*PersonalLoanAPR/12),2)</f>
        <v>68.99</v>
      </c>
      <c r="O7" s="12">
        <f>ROUND(IF($M$7&lt;=0,0,MIN(PersonalLoanMinPayment,$M$7+$N$7)),2)</f>
        <v>207.0</v>
      </c>
      <c r="P7" s="12">
        <f>ROUND(IF($M$7&lt;=0,0,MIN(MAX(0,$M$7+$N$7-$O$7),MAX(0,$AB$7-$F$7-$K$7))),2)</f>
        <v>0.0</v>
      </c>
      <c r="Q7" s="12">
        <f>ROUND(MAX(0,$M$7+$N$7-$O$7-$P$7),2)</f>
        <v>6490.22</v>
      </c>
      <c r="R7" s="12">
        <f>$V$6</f>
        <v>11994.59</v>
      </c>
      <c r="S7" s="12">
        <f>ROUND(IF($R$7&lt;=0,0,$R$7*AutoLoanAPR/12),2)</f>
        <v>57.47</v>
      </c>
      <c r="T7" s="12">
        <f>ROUND(IF($R$7&lt;=0,0,MIN(AutoLoanMinPayment,$R$7+$S$7)),2)</f>
        <v>312.0</v>
      </c>
      <c r="U7" s="12">
        <f>ROUND(IF($R$7&lt;=0,0,MIN(MAX(0,$R$7+$S$7-$T$7),MAX(0,$AB$7-$F$7-$K$7-$P$7))),2)</f>
        <v>0.0</v>
      </c>
      <c r="V7" s="12">
        <f>ROUND(MAX(0,$R$7+$S$7-$T$7-$U$7),2)</f>
        <v>11740.06</v>
      </c>
      <c r="W7" s="12">
        <f>$AA$6</f>
        <v>810.0</v>
      </c>
      <c r="X7" s="12">
        <f>ROUND(IF($W$7&lt;=0,0,$W$7*FurnitureCardAPR/12),2)</f>
        <v>0.0</v>
      </c>
      <c r="Y7" s="12">
        <f>ROUND(IF($W$7&lt;=0,0,MIN(FurnitureCardMinPayment,$W$7+$X$7)),2)</f>
        <v>45.0</v>
      </c>
      <c r="Z7" s="12">
        <f>ROUND(IF($W$7&lt;=0,0,MIN(MAX(0,$W$7+$X$7-$Y$7),MAX(0,$AB$7-$F$7-$K$7-$P$7-$U$7))),2)</f>
        <v>0.0</v>
      </c>
      <c r="AA7" s="12">
        <f>ROUND(MAX(0,$W$7+$X$7-$Y$7-$Z$7),2)</f>
        <v>765.0</v>
      </c>
      <c r="AB7" s="12">
        <f>ROUND(ExtraPayment+IF($G$6&lt;=0,AmexCardMinPayment,0)+IF($L$6&lt;=0,VisaCardMinPayment,0)+IF($Q$6&lt;=0,PersonalLoanMinPayment,0)+IF($V$6&lt;=0,AutoLoanMinPayment,0)+IF($AA$6&lt;=0,FurnitureCardMinPayment,0),2)</f>
        <v>350.0</v>
      </c>
      <c r="AC7" s="12">
        <f>ROUND(SUM($D$7,$I$7,$N$7,$S$7,$X$7),2)</f>
        <v>308.03</v>
      </c>
      <c r="AD7" s="12">
        <f>ROUND(SUM($G$7,$L$7,$Q$7,$V$7,$AA$7),2)</f>
        <v>27437.63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4006.43</v>
      </c>
      <c r="D8" s="12">
        <f>ROUND(IF($C$8&lt;=0,0,$C$8*AmexCardAPR/12),2)</f>
        <v>90.11</v>
      </c>
      <c r="E8" s="12">
        <f>ROUND(IF($C$8&lt;=0,0,MIN(AmexCardMinPayment,$C$8+$D$8)),2)</f>
        <v>156.0</v>
      </c>
      <c r="F8" s="12">
        <f>ROUND(IF($C$8&lt;=0,0,MIN(MAX(0,$C$8+$D$8-$E$8),$AB$8)),2)</f>
        <v>350.0</v>
      </c>
      <c r="G8" s="12">
        <f>ROUND(MAX(0,$C$8+$D$8-$E$8-$F$8),2)</f>
        <v>3590.54</v>
      </c>
      <c r="H8" s="12">
        <f>$L$7</f>
        <v>4435.92</v>
      </c>
      <c r="I8" s="12">
        <f>ROUND(IF($H$8&lt;=0,0,$H$8*VisaCardAPR/12),2)</f>
        <v>81.29</v>
      </c>
      <c r="J8" s="12">
        <f>ROUND(IF($H$8&lt;=0,0,MIN(VisaCardMinPayment,$H$8+$I$8)),2)</f>
        <v>138.0</v>
      </c>
      <c r="K8" s="12">
        <f>ROUND(IF($H$8&lt;=0,0,MIN(MAX(0,$H$8+$I$8-$J$8),MAX(0,$AB$8-$F$8))),2)</f>
        <v>0.0</v>
      </c>
      <c r="L8" s="12">
        <f>ROUND(MAX(0,$H$8+$I$8-$J$8-$K$8),2)</f>
        <v>4379.21</v>
      </c>
      <c r="M8" s="12">
        <f>$Q$7</f>
        <v>6490.22</v>
      </c>
      <c r="N8" s="12">
        <f>ROUND(IF($M$8&lt;=0,0,$M$8*PersonalLoanAPR/12),2)</f>
        <v>67.55</v>
      </c>
      <c r="O8" s="12">
        <f>ROUND(IF($M$8&lt;=0,0,MIN(PersonalLoanMinPayment,$M$8+$N$8)),2)</f>
        <v>207.0</v>
      </c>
      <c r="P8" s="12">
        <f>ROUND(IF($M$8&lt;=0,0,MIN(MAX(0,$M$8+$N$8-$O$8),MAX(0,$AB$8-$F$8-$K$8))),2)</f>
        <v>0.0</v>
      </c>
      <c r="Q8" s="12">
        <f>ROUND(MAX(0,$M$8+$N$8-$O$8-$P$8),2)</f>
        <v>6350.77</v>
      </c>
      <c r="R8" s="12">
        <f>$V$7</f>
        <v>11740.06</v>
      </c>
      <c r="S8" s="12">
        <f>ROUND(IF($R$8&lt;=0,0,$R$8*AutoLoanAPR/12),2)</f>
        <v>56.25</v>
      </c>
      <c r="T8" s="12">
        <f>ROUND(IF($R$8&lt;=0,0,MIN(AutoLoanMinPayment,$R$8+$S$8)),2)</f>
        <v>312.0</v>
      </c>
      <c r="U8" s="12">
        <f>ROUND(IF($R$8&lt;=0,0,MIN(MAX(0,$R$8+$S$8-$T$8),MAX(0,$AB$8-$F$8-$K$8-$P$8))),2)</f>
        <v>0.0</v>
      </c>
      <c r="V8" s="12">
        <f>ROUND(MAX(0,$R$8+$S$8-$T$8-$U$8),2)</f>
        <v>11484.31</v>
      </c>
      <c r="W8" s="12">
        <f>$AA$7</f>
        <v>765.0</v>
      </c>
      <c r="X8" s="12">
        <f>ROUND(IF($W$8&lt;=0,0,$W$8*FurnitureCardAPR/12),2)</f>
        <v>0.0</v>
      </c>
      <c r="Y8" s="12">
        <f>ROUND(IF($W$8&lt;=0,0,MIN(FurnitureCardMinPayment,$W$8+$X$8)),2)</f>
        <v>45.0</v>
      </c>
      <c r="Z8" s="12">
        <f>ROUND(IF($W$8&lt;=0,0,MIN(MAX(0,$W$8+$X$8-$Y$8),MAX(0,$AB$8-$F$8-$K$8-$P$8-$U$8))),2)</f>
        <v>0.0</v>
      </c>
      <c r="AA8" s="12">
        <f>ROUND(MAX(0,$W$8+$X$8-$Y$8-$Z$8),2)</f>
        <v>720.0</v>
      </c>
      <c r="AB8" s="12">
        <f>ROUND(ExtraPayment+IF($G$7&lt;=0,AmexCardMinPayment,0)+IF($L$7&lt;=0,VisaCardMinPayment,0)+IF($Q$7&lt;=0,PersonalLoanMinPayment,0)+IF($V$7&lt;=0,AutoLoanMinPayment,0)+IF($AA$7&lt;=0,FurnitureCardMinPayment,0),2)</f>
        <v>350.0</v>
      </c>
      <c r="AC8" s="12">
        <f>ROUND(SUM($D$8,$I$8,$N$8,$S$8,$X$8),2)</f>
        <v>295.2</v>
      </c>
      <c r="AD8" s="12">
        <f>ROUND(SUM($G$8,$L$8,$Q$8,$V$8,$AA$8),2)</f>
        <v>26524.83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3590.54</v>
      </c>
      <c r="D9" s="12">
        <f>ROUND(IF($C$9&lt;=0,0,$C$9*AmexCardAPR/12),2)</f>
        <v>80.76</v>
      </c>
      <c r="E9" s="12">
        <f>ROUND(IF($C$9&lt;=0,0,MIN(AmexCardMinPayment,$C$9+$D$9)),2)</f>
        <v>156.0</v>
      </c>
      <c r="F9" s="12">
        <f>ROUND(IF($C$9&lt;=0,0,MIN(MAX(0,$C$9+$D$9-$E$9),$AB$9)),2)</f>
        <v>350.0</v>
      </c>
      <c r="G9" s="12">
        <f>ROUND(MAX(0,$C$9+$D$9-$E$9-$F$9),2)</f>
        <v>3165.3</v>
      </c>
      <c r="H9" s="12">
        <f>$L$8</f>
        <v>4379.21</v>
      </c>
      <c r="I9" s="12">
        <f>ROUND(IF($H$9&lt;=0,0,$H$9*VisaCardAPR/12),2)</f>
        <v>80.25</v>
      </c>
      <c r="J9" s="12">
        <f>ROUND(IF($H$9&lt;=0,0,MIN(VisaCardMinPayment,$H$9+$I$9)),2)</f>
        <v>138.0</v>
      </c>
      <c r="K9" s="12">
        <f>ROUND(IF($H$9&lt;=0,0,MIN(MAX(0,$H$9+$I$9-$J$9),MAX(0,$AB$9-$F$9))),2)</f>
        <v>0.0</v>
      </c>
      <c r="L9" s="12">
        <f>ROUND(MAX(0,$H$9+$I$9-$J$9-$K$9),2)</f>
        <v>4321.46</v>
      </c>
      <c r="M9" s="12">
        <f>$Q$8</f>
        <v>6350.77</v>
      </c>
      <c r="N9" s="12">
        <f>ROUND(IF($M$9&lt;=0,0,$M$9*PersonalLoanAPR/12),2)</f>
        <v>66.1</v>
      </c>
      <c r="O9" s="12">
        <f>ROUND(IF($M$9&lt;=0,0,MIN(PersonalLoanMinPayment,$M$9+$N$9)),2)</f>
        <v>207.0</v>
      </c>
      <c r="P9" s="12">
        <f>ROUND(IF($M$9&lt;=0,0,MIN(MAX(0,$M$9+$N$9-$O$9),MAX(0,$AB$9-$F$9-$K$9))),2)</f>
        <v>0.0</v>
      </c>
      <c r="Q9" s="12">
        <f>ROUND(MAX(0,$M$9+$N$9-$O$9-$P$9),2)</f>
        <v>6209.87</v>
      </c>
      <c r="R9" s="12">
        <f>$V$8</f>
        <v>11484.31</v>
      </c>
      <c r="S9" s="12">
        <f>ROUND(IF($R$9&lt;=0,0,$R$9*AutoLoanAPR/12),2)</f>
        <v>55.03</v>
      </c>
      <c r="T9" s="12">
        <f>ROUND(IF($R$9&lt;=0,0,MIN(AutoLoanMinPayment,$R$9+$S$9)),2)</f>
        <v>312.0</v>
      </c>
      <c r="U9" s="12">
        <f>ROUND(IF($R$9&lt;=0,0,MIN(MAX(0,$R$9+$S$9-$T$9),MAX(0,$AB$9-$F$9-$K$9-$P$9))),2)</f>
        <v>0.0</v>
      </c>
      <c r="V9" s="12">
        <f>ROUND(MAX(0,$R$9+$S$9-$T$9-$U$9),2)</f>
        <v>11227.34</v>
      </c>
      <c r="W9" s="12">
        <f>$AA$8</f>
        <v>720.0</v>
      </c>
      <c r="X9" s="12">
        <f>ROUND(IF($W$9&lt;=0,0,$W$9*FurnitureCardAPR/12),2)</f>
        <v>0.0</v>
      </c>
      <c r="Y9" s="12">
        <f>ROUND(IF($W$9&lt;=0,0,MIN(FurnitureCardMinPayment,$W$9+$X$9)),2)</f>
        <v>45.0</v>
      </c>
      <c r="Z9" s="12">
        <f>ROUND(IF($W$9&lt;=0,0,MIN(MAX(0,$W$9+$X$9-$Y$9),MAX(0,$AB$9-$F$9-$K$9-$P$9-$U$9))),2)</f>
        <v>0.0</v>
      </c>
      <c r="AA9" s="12">
        <f>ROUND(MAX(0,$W$9+$X$9-$Y$9-$Z$9),2)</f>
        <v>675.0</v>
      </c>
      <c r="AB9" s="12">
        <f>ROUND(ExtraPayment+IF($G$8&lt;=0,AmexCardMinPayment,0)+IF($L$8&lt;=0,VisaCardMinPayment,0)+IF($Q$8&lt;=0,PersonalLoanMinPayment,0)+IF($V$8&lt;=0,AutoLoanMinPayment,0)+IF($AA$8&lt;=0,FurnitureCardMinPayment,0),2)</f>
        <v>350.0</v>
      </c>
      <c r="AC9" s="12">
        <f>ROUND(SUM($D$9,$I$9,$N$9,$S$9,$X$9),2)</f>
        <v>282.14</v>
      </c>
      <c r="AD9" s="12">
        <f>ROUND(SUM($G$9,$L$9,$Q$9,$V$9,$AA$9),2)</f>
        <v>25598.97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3165.3</v>
      </c>
      <c r="D10" s="12">
        <f>ROUND(IF($C$10&lt;=0,0,$C$10*AmexCardAPR/12),2)</f>
        <v>71.19</v>
      </c>
      <c r="E10" s="12">
        <f>ROUND(IF($C$10&lt;=0,0,MIN(AmexCardMinPayment,$C$10+$D$10)),2)</f>
        <v>156.0</v>
      </c>
      <c r="F10" s="12">
        <f>ROUND(IF($C$10&lt;=0,0,MIN(MAX(0,$C$10+$D$10-$E$10),$AB$10)),2)</f>
        <v>350.0</v>
      </c>
      <c r="G10" s="12">
        <f>ROUND(MAX(0,$C$10+$D$10-$E$10-$F$10),2)</f>
        <v>2730.49</v>
      </c>
      <c r="H10" s="12">
        <f>$L$9</f>
        <v>4321.46</v>
      </c>
      <c r="I10" s="12">
        <f>ROUND(IF($H$10&lt;=0,0,$H$10*VisaCardAPR/12),2)</f>
        <v>79.19</v>
      </c>
      <c r="J10" s="12">
        <f>ROUND(IF($H$10&lt;=0,0,MIN(VisaCardMinPayment,$H$10+$I$10)),2)</f>
        <v>138.0</v>
      </c>
      <c r="K10" s="12">
        <f>ROUND(IF($H$10&lt;=0,0,MIN(MAX(0,$H$10+$I$10-$J$10),MAX(0,$AB$10-$F$10))),2)</f>
        <v>0.0</v>
      </c>
      <c r="L10" s="12">
        <f>ROUND(MAX(0,$H$10+$I$10-$J$10-$K$10),2)</f>
        <v>4262.65</v>
      </c>
      <c r="M10" s="12">
        <f>$Q$9</f>
        <v>6209.87</v>
      </c>
      <c r="N10" s="12">
        <f>ROUND(IF($M$10&lt;=0,0,$M$10*PersonalLoanAPR/12),2)</f>
        <v>64.63</v>
      </c>
      <c r="O10" s="12">
        <f>ROUND(IF($M$10&lt;=0,0,MIN(PersonalLoanMinPayment,$M$10+$N$10)),2)</f>
        <v>207.0</v>
      </c>
      <c r="P10" s="12">
        <f>ROUND(IF($M$10&lt;=0,0,MIN(MAX(0,$M$10+$N$10-$O$10),MAX(0,$AB$10-$F$10-$K$10))),2)</f>
        <v>0.0</v>
      </c>
      <c r="Q10" s="12">
        <f>ROUND(MAX(0,$M$10+$N$10-$O$10-$P$10),2)</f>
        <v>6067.5</v>
      </c>
      <c r="R10" s="12">
        <f>$V$9</f>
        <v>11227.34</v>
      </c>
      <c r="S10" s="12">
        <f>ROUND(IF($R$10&lt;=0,0,$R$10*AutoLoanAPR/12),2)</f>
        <v>53.8</v>
      </c>
      <c r="T10" s="12">
        <f>ROUND(IF($R$10&lt;=0,0,MIN(AutoLoanMinPayment,$R$10+$S$10)),2)</f>
        <v>312.0</v>
      </c>
      <c r="U10" s="12">
        <f>ROUND(IF($R$10&lt;=0,0,MIN(MAX(0,$R$10+$S$10-$T$10),MAX(0,$AB$10-$F$10-$K$10-$P$10))),2)</f>
        <v>0.0</v>
      </c>
      <c r="V10" s="12">
        <f>ROUND(MAX(0,$R$10+$S$10-$T$10-$U$10),2)</f>
        <v>10969.14</v>
      </c>
      <c r="W10" s="12">
        <f>$AA$9</f>
        <v>675.0</v>
      </c>
      <c r="X10" s="12">
        <f>ROUND(IF($W$10&lt;=0,0,$W$10*FurnitureCardAPR/12),2)</f>
        <v>0.0</v>
      </c>
      <c r="Y10" s="12">
        <f>ROUND(IF($W$10&lt;=0,0,MIN(FurnitureCardMinPayment,$W$10+$X$10)),2)</f>
        <v>45.0</v>
      </c>
      <c r="Z10" s="12">
        <f>ROUND(IF($W$10&lt;=0,0,MIN(MAX(0,$W$10+$X$10-$Y$10),MAX(0,$AB$10-$F$10-$K$10-$P$10-$U$10))),2)</f>
        <v>0.0</v>
      </c>
      <c r="AA10" s="12">
        <f>ROUND(MAX(0,$W$10+$X$10-$Y$10-$Z$10),2)</f>
        <v>630.0</v>
      </c>
      <c r="AB10" s="12">
        <f>ROUND(ExtraPayment+IF($G$9&lt;=0,AmexCardMinPayment,0)+IF($L$9&lt;=0,VisaCardMinPayment,0)+IF($Q$9&lt;=0,PersonalLoanMinPayment,0)+IF($V$9&lt;=0,AutoLoanMinPayment,0)+IF($AA$9&lt;=0,FurnitureCardMinPayment,0),2)</f>
        <v>350.0</v>
      </c>
      <c r="AC10" s="12">
        <f>ROUND(SUM($D$10,$I$10,$N$10,$S$10,$X$10),2)</f>
        <v>268.81</v>
      </c>
      <c r="AD10" s="12">
        <f>ROUND(SUM($G$10,$L$10,$Q$10,$V$10,$AA$10),2)</f>
        <v>24659.78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2730.49</v>
      </c>
      <c r="D11" s="12">
        <f>ROUND(IF($C$11&lt;=0,0,$C$11*AmexCardAPR/12),2)</f>
        <v>61.41</v>
      </c>
      <c r="E11" s="12">
        <f>ROUND(IF($C$11&lt;=0,0,MIN(AmexCardMinPayment,$C$11+$D$11)),2)</f>
        <v>156.0</v>
      </c>
      <c r="F11" s="12">
        <f>ROUND(IF($C$11&lt;=0,0,MIN(MAX(0,$C$11+$D$11-$E$11),$AB$11)),2)</f>
        <v>350.0</v>
      </c>
      <c r="G11" s="12">
        <f>ROUND(MAX(0,$C$11+$D$11-$E$11-$F$11),2)</f>
        <v>2285.9</v>
      </c>
      <c r="H11" s="12">
        <f>$L$10</f>
        <v>4262.65</v>
      </c>
      <c r="I11" s="12">
        <f>ROUND(IF($H$11&lt;=0,0,$H$11*VisaCardAPR/12),2)</f>
        <v>78.11</v>
      </c>
      <c r="J11" s="12">
        <f>ROUND(IF($H$11&lt;=0,0,MIN(VisaCardMinPayment,$H$11+$I$11)),2)</f>
        <v>138.0</v>
      </c>
      <c r="K11" s="12">
        <f>ROUND(IF($H$11&lt;=0,0,MIN(MAX(0,$H$11+$I$11-$J$11),MAX(0,$AB$11-$F$11))),2)</f>
        <v>0.0</v>
      </c>
      <c r="L11" s="12">
        <f>ROUND(MAX(0,$H$11+$I$11-$J$11-$K$11),2)</f>
        <v>4202.76</v>
      </c>
      <c r="M11" s="12">
        <f>$Q$10</f>
        <v>6067.5</v>
      </c>
      <c r="N11" s="12">
        <f>ROUND(IF($M$11&lt;=0,0,$M$11*PersonalLoanAPR/12),2)</f>
        <v>63.15</v>
      </c>
      <c r="O11" s="12">
        <f>ROUND(IF($M$11&lt;=0,0,MIN(PersonalLoanMinPayment,$M$11+$N$11)),2)</f>
        <v>207.0</v>
      </c>
      <c r="P11" s="12">
        <f>ROUND(IF($M$11&lt;=0,0,MIN(MAX(0,$M$11+$N$11-$O$11),MAX(0,$AB$11-$F$11-$K$11))),2)</f>
        <v>0.0</v>
      </c>
      <c r="Q11" s="12">
        <f>ROUND(MAX(0,$M$11+$N$11-$O$11-$P$11),2)</f>
        <v>5923.65</v>
      </c>
      <c r="R11" s="12">
        <f>$V$10</f>
        <v>10969.14</v>
      </c>
      <c r="S11" s="12">
        <f>ROUND(IF($R$11&lt;=0,0,$R$11*AutoLoanAPR/12),2)</f>
        <v>52.56</v>
      </c>
      <c r="T11" s="12">
        <f>ROUND(IF($R$11&lt;=0,0,MIN(AutoLoanMinPayment,$R$11+$S$11)),2)</f>
        <v>312.0</v>
      </c>
      <c r="U11" s="12">
        <f>ROUND(IF($R$11&lt;=0,0,MIN(MAX(0,$R$11+$S$11-$T$11),MAX(0,$AB$11-$F$11-$K$11-$P$11))),2)</f>
        <v>0.0</v>
      </c>
      <c r="V11" s="12">
        <f>ROUND(MAX(0,$R$11+$S$11-$T$11-$U$11),2)</f>
        <v>10709.7</v>
      </c>
      <c r="W11" s="12">
        <f>$AA$10</f>
        <v>630.0</v>
      </c>
      <c r="X11" s="12">
        <f>ROUND(IF($W$11&lt;=0,0,$W$11*FurnitureCardAPR/12),2)</f>
        <v>0.0</v>
      </c>
      <c r="Y11" s="12">
        <f>ROUND(IF($W$11&lt;=0,0,MIN(FurnitureCardMinPayment,$W$11+$X$11)),2)</f>
        <v>45.0</v>
      </c>
      <c r="Z11" s="12">
        <f>ROUND(IF($W$11&lt;=0,0,MIN(MAX(0,$W$11+$X$11-$Y$11),MAX(0,$AB$11-$F$11-$K$11-$P$11-$U$11))),2)</f>
        <v>0.0</v>
      </c>
      <c r="AA11" s="12">
        <f>ROUND(MAX(0,$W$11+$X$11-$Y$11-$Z$11),2)</f>
        <v>585.0</v>
      </c>
      <c r="AB11" s="12">
        <f>ROUND(ExtraPayment+IF($G$10&lt;=0,AmexCardMinPayment,0)+IF($L$10&lt;=0,VisaCardMinPayment,0)+IF($Q$10&lt;=0,PersonalLoanMinPayment,0)+IF($V$10&lt;=0,AutoLoanMinPayment,0)+IF($AA$10&lt;=0,FurnitureCardMinPayment,0),2)</f>
        <v>350.0</v>
      </c>
      <c r="AC11" s="12">
        <f>ROUND(SUM($D$11,$I$11,$N$11,$S$11,$X$11),2)</f>
        <v>255.23</v>
      </c>
      <c r="AD11" s="12">
        <f>ROUND(SUM($G$11,$L$11,$Q$11,$V$11,$AA$11),2)</f>
        <v>23707.01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2285.9</v>
      </c>
      <c r="D12" s="12">
        <f>ROUND(IF($C$12&lt;=0,0,$C$12*AmexCardAPR/12),2)</f>
        <v>51.41</v>
      </c>
      <c r="E12" s="12">
        <f>ROUND(IF($C$12&lt;=0,0,MIN(AmexCardMinPayment,$C$12+$D$12)),2)</f>
        <v>156.0</v>
      </c>
      <c r="F12" s="12">
        <f>ROUND(IF($C$12&lt;=0,0,MIN(MAX(0,$C$12+$D$12-$E$12),$AB$12)),2)</f>
        <v>350.0</v>
      </c>
      <c r="G12" s="12">
        <f>ROUND(MAX(0,$C$12+$D$12-$E$12-$F$12),2)</f>
        <v>1831.31</v>
      </c>
      <c r="H12" s="12">
        <f>$L$11</f>
        <v>4202.76</v>
      </c>
      <c r="I12" s="12">
        <f>ROUND(IF($H$12&lt;=0,0,$H$12*VisaCardAPR/12),2)</f>
        <v>77.02</v>
      </c>
      <c r="J12" s="12">
        <f>ROUND(IF($H$12&lt;=0,0,MIN(VisaCardMinPayment,$H$12+$I$12)),2)</f>
        <v>138.0</v>
      </c>
      <c r="K12" s="12">
        <f>ROUND(IF($H$12&lt;=0,0,MIN(MAX(0,$H$12+$I$12-$J$12),MAX(0,$AB$12-$F$12))),2)</f>
        <v>0.0</v>
      </c>
      <c r="L12" s="12">
        <f>ROUND(MAX(0,$H$12+$I$12-$J$12-$K$12),2)</f>
        <v>4141.78</v>
      </c>
      <c r="M12" s="12">
        <f>$Q$11</f>
        <v>5923.65</v>
      </c>
      <c r="N12" s="12">
        <f>ROUND(IF($M$12&lt;=0,0,$M$12*PersonalLoanAPR/12),2)</f>
        <v>61.66</v>
      </c>
      <c r="O12" s="12">
        <f>ROUND(IF($M$12&lt;=0,0,MIN(PersonalLoanMinPayment,$M$12+$N$12)),2)</f>
        <v>207.0</v>
      </c>
      <c r="P12" s="12">
        <f>ROUND(IF($M$12&lt;=0,0,MIN(MAX(0,$M$12+$N$12-$O$12),MAX(0,$AB$12-$F$12-$K$12))),2)</f>
        <v>0.0</v>
      </c>
      <c r="Q12" s="12">
        <f>ROUND(MAX(0,$M$12+$N$12-$O$12-$P$12),2)</f>
        <v>5778.31</v>
      </c>
      <c r="R12" s="12">
        <f>$V$11</f>
        <v>10709.7</v>
      </c>
      <c r="S12" s="12">
        <f>ROUND(IF($R$12&lt;=0,0,$R$12*AutoLoanAPR/12),2)</f>
        <v>51.32</v>
      </c>
      <c r="T12" s="12">
        <f>ROUND(IF($R$12&lt;=0,0,MIN(AutoLoanMinPayment,$R$12+$S$12)),2)</f>
        <v>312.0</v>
      </c>
      <c r="U12" s="12">
        <f>ROUND(IF($R$12&lt;=0,0,MIN(MAX(0,$R$12+$S$12-$T$12),MAX(0,$AB$12-$F$12-$K$12-$P$12))),2)</f>
        <v>0.0</v>
      </c>
      <c r="V12" s="12">
        <f>ROUND(MAX(0,$R$12+$S$12-$T$12-$U$12),2)</f>
        <v>10449.02</v>
      </c>
      <c r="W12" s="12">
        <f>$AA$11</f>
        <v>585.0</v>
      </c>
      <c r="X12" s="12">
        <f>ROUND(IF($W$12&lt;=0,0,$W$12*FurnitureCardAPR/12),2)</f>
        <v>0.0</v>
      </c>
      <c r="Y12" s="12">
        <f>ROUND(IF($W$12&lt;=0,0,MIN(FurnitureCardMinPayment,$W$12+$X$12)),2)</f>
        <v>45.0</v>
      </c>
      <c r="Z12" s="12">
        <f>ROUND(IF($W$12&lt;=0,0,MIN(MAX(0,$W$12+$X$12-$Y$12),MAX(0,$AB$12-$F$12-$K$12-$P$12-$U$12))),2)</f>
        <v>0.0</v>
      </c>
      <c r="AA12" s="12">
        <f>ROUND(MAX(0,$W$12+$X$12-$Y$12-$Z$12),2)</f>
        <v>540.0</v>
      </c>
      <c r="AB12" s="12">
        <f>ROUND(ExtraPayment+IF($G$11&lt;=0,AmexCardMinPayment,0)+IF($L$11&lt;=0,VisaCardMinPayment,0)+IF($Q$11&lt;=0,PersonalLoanMinPayment,0)+IF($V$11&lt;=0,AutoLoanMinPayment,0)+IF($AA$11&lt;=0,FurnitureCardMinPayment,0),2)</f>
        <v>350.0</v>
      </c>
      <c r="AC12" s="12">
        <f>ROUND(SUM($D$12,$I$12,$N$12,$S$12,$X$12),2)</f>
        <v>241.41</v>
      </c>
      <c r="AD12" s="12">
        <f>ROUND(SUM($G$12,$L$12,$Q$12,$V$12,$AA$12),2)</f>
        <v>22740.42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1831.31</v>
      </c>
      <c r="D13" s="12">
        <f>ROUND(IF($C$13&lt;=0,0,$C$13*AmexCardAPR/12),2)</f>
        <v>41.19</v>
      </c>
      <c r="E13" s="12">
        <f>ROUND(IF($C$13&lt;=0,0,MIN(AmexCardMinPayment,$C$13+$D$13)),2)</f>
        <v>156.0</v>
      </c>
      <c r="F13" s="12">
        <f>ROUND(IF($C$13&lt;=0,0,MIN(MAX(0,$C$13+$D$13-$E$13),$AB$13)),2)</f>
        <v>350.0</v>
      </c>
      <c r="G13" s="12">
        <f>ROUND(MAX(0,$C$13+$D$13-$E$13-$F$13),2)</f>
        <v>1366.5</v>
      </c>
      <c r="H13" s="12">
        <f>$L$12</f>
        <v>4141.78</v>
      </c>
      <c r="I13" s="12">
        <f>ROUND(IF($H$13&lt;=0,0,$H$13*VisaCardAPR/12),2)</f>
        <v>75.9</v>
      </c>
      <c r="J13" s="12">
        <f>ROUND(IF($H$13&lt;=0,0,MIN(VisaCardMinPayment,$H$13+$I$13)),2)</f>
        <v>138.0</v>
      </c>
      <c r="K13" s="12">
        <f>ROUND(IF($H$13&lt;=0,0,MIN(MAX(0,$H$13+$I$13-$J$13),MAX(0,$AB$13-$F$13))),2)</f>
        <v>0.0</v>
      </c>
      <c r="L13" s="12">
        <f>ROUND(MAX(0,$H$13+$I$13-$J$13-$K$13),2)</f>
        <v>4079.68</v>
      </c>
      <c r="M13" s="12">
        <f>$Q$12</f>
        <v>5778.31</v>
      </c>
      <c r="N13" s="12">
        <f>ROUND(IF($M$13&lt;=0,0,$M$13*PersonalLoanAPR/12),2)</f>
        <v>60.14</v>
      </c>
      <c r="O13" s="12">
        <f>ROUND(IF($M$13&lt;=0,0,MIN(PersonalLoanMinPayment,$M$13+$N$13)),2)</f>
        <v>207.0</v>
      </c>
      <c r="P13" s="12">
        <f>ROUND(IF($M$13&lt;=0,0,MIN(MAX(0,$M$13+$N$13-$O$13),MAX(0,$AB$13-$F$13-$K$13))),2)</f>
        <v>0.0</v>
      </c>
      <c r="Q13" s="12">
        <f>ROUND(MAX(0,$M$13+$N$13-$O$13-$P$13),2)</f>
        <v>5631.45</v>
      </c>
      <c r="R13" s="12">
        <f>$V$12</f>
        <v>10449.02</v>
      </c>
      <c r="S13" s="12">
        <f>ROUND(IF($R$13&lt;=0,0,$R$13*AutoLoanAPR/12),2)</f>
        <v>50.07</v>
      </c>
      <c r="T13" s="12">
        <f>ROUND(IF($R$13&lt;=0,0,MIN(AutoLoanMinPayment,$R$13+$S$13)),2)</f>
        <v>312.0</v>
      </c>
      <c r="U13" s="12">
        <f>ROUND(IF($R$13&lt;=0,0,MIN(MAX(0,$R$13+$S$13-$T$13),MAX(0,$AB$13-$F$13-$K$13-$P$13))),2)</f>
        <v>0.0</v>
      </c>
      <c r="V13" s="12">
        <f>ROUND(MAX(0,$R$13+$S$13-$T$13-$U$13),2)</f>
        <v>10187.09</v>
      </c>
      <c r="W13" s="12">
        <f>$AA$12</f>
        <v>540.0</v>
      </c>
      <c r="X13" s="12">
        <f>ROUND(IF($W$13&lt;=0,0,$W$13*FurnitureCardAPR/12),2)</f>
        <v>0.0</v>
      </c>
      <c r="Y13" s="12">
        <f>ROUND(IF($W$13&lt;=0,0,MIN(FurnitureCardMinPayment,$W$13+$X$13)),2)</f>
        <v>45.0</v>
      </c>
      <c r="Z13" s="12">
        <f>ROUND(IF($W$13&lt;=0,0,MIN(MAX(0,$W$13+$X$13-$Y$13),MAX(0,$AB$13-$F$13-$K$13-$P$13-$U$13))),2)</f>
        <v>0.0</v>
      </c>
      <c r="AA13" s="12">
        <f>ROUND(MAX(0,$W$13+$X$13-$Y$13-$Z$13),2)</f>
        <v>495.0</v>
      </c>
      <c r="AB13" s="12">
        <f>ROUND(ExtraPayment+IF($G$12&lt;=0,AmexCardMinPayment,0)+IF($L$12&lt;=0,VisaCardMinPayment,0)+IF($Q$12&lt;=0,PersonalLoanMinPayment,0)+IF($V$12&lt;=0,AutoLoanMinPayment,0)+IF($AA$12&lt;=0,FurnitureCardMinPayment,0),2)</f>
        <v>350.0</v>
      </c>
      <c r="AC13" s="12">
        <f>ROUND(SUM($D$13,$I$13,$N$13,$S$13,$X$13),2)</f>
        <v>227.3</v>
      </c>
      <c r="AD13" s="12">
        <f>ROUND(SUM($G$13,$L$13,$Q$13,$V$13,$AA$13),2)</f>
        <v>21759.72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1366.5</v>
      </c>
      <c r="D14" s="12">
        <f>ROUND(IF($C$14&lt;=0,0,$C$14*AmexCardAPR/12),2)</f>
        <v>30.73</v>
      </c>
      <c r="E14" s="12">
        <f>ROUND(IF($C$14&lt;=0,0,MIN(AmexCardMinPayment,$C$14+$D$14)),2)</f>
        <v>156.0</v>
      </c>
      <c r="F14" s="12">
        <f>ROUND(IF($C$14&lt;=0,0,MIN(MAX(0,$C$14+$D$14-$E$14),$AB$14)),2)</f>
        <v>350.0</v>
      </c>
      <c r="G14" s="12">
        <f>ROUND(MAX(0,$C$14+$D$14-$E$14-$F$14),2)</f>
        <v>891.23</v>
      </c>
      <c r="H14" s="12">
        <f>$L$13</f>
        <v>4079.68</v>
      </c>
      <c r="I14" s="12">
        <f>ROUND(IF($H$14&lt;=0,0,$H$14*VisaCardAPR/12),2)</f>
        <v>74.76</v>
      </c>
      <c r="J14" s="12">
        <f>ROUND(IF($H$14&lt;=0,0,MIN(VisaCardMinPayment,$H$14+$I$14)),2)</f>
        <v>138.0</v>
      </c>
      <c r="K14" s="12">
        <f>ROUND(IF($H$14&lt;=0,0,MIN(MAX(0,$H$14+$I$14-$J$14),MAX(0,$AB$14-$F$14))),2)</f>
        <v>0.0</v>
      </c>
      <c r="L14" s="12">
        <f>ROUND(MAX(0,$H$14+$I$14-$J$14-$K$14),2)</f>
        <v>4016.44</v>
      </c>
      <c r="M14" s="12">
        <f>$Q$13</f>
        <v>5631.45</v>
      </c>
      <c r="N14" s="12">
        <f>ROUND(IF($M$14&lt;=0,0,$M$14*PersonalLoanAPR/12),2)</f>
        <v>58.61</v>
      </c>
      <c r="O14" s="12">
        <f>ROUND(IF($M$14&lt;=0,0,MIN(PersonalLoanMinPayment,$M$14+$N$14)),2)</f>
        <v>207.0</v>
      </c>
      <c r="P14" s="12">
        <f>ROUND(IF($M$14&lt;=0,0,MIN(MAX(0,$M$14+$N$14-$O$14),MAX(0,$AB$14-$F$14-$K$14))),2)</f>
        <v>0.0</v>
      </c>
      <c r="Q14" s="12">
        <f>ROUND(MAX(0,$M$14+$N$14-$O$14-$P$14),2)</f>
        <v>5483.06</v>
      </c>
      <c r="R14" s="12">
        <f>$V$13</f>
        <v>10187.09</v>
      </c>
      <c r="S14" s="12">
        <f>ROUND(IF($R$14&lt;=0,0,$R$14*AutoLoanAPR/12),2)</f>
        <v>48.81</v>
      </c>
      <c r="T14" s="12">
        <f>ROUND(IF($R$14&lt;=0,0,MIN(AutoLoanMinPayment,$R$14+$S$14)),2)</f>
        <v>312.0</v>
      </c>
      <c r="U14" s="12">
        <f>ROUND(IF($R$14&lt;=0,0,MIN(MAX(0,$R$14+$S$14-$T$14),MAX(0,$AB$14-$F$14-$K$14-$P$14))),2)</f>
        <v>0.0</v>
      </c>
      <c r="V14" s="12">
        <f>ROUND(MAX(0,$R$14+$S$14-$T$14-$U$14),2)</f>
        <v>9923.9</v>
      </c>
      <c r="W14" s="12">
        <f>$AA$13</f>
        <v>495.0</v>
      </c>
      <c r="X14" s="12">
        <f>ROUND(IF($W$14&lt;=0,0,$W$14*FurnitureCardAPR/12),2)</f>
        <v>0.0</v>
      </c>
      <c r="Y14" s="12">
        <f>ROUND(IF($W$14&lt;=0,0,MIN(FurnitureCardMinPayment,$W$14+$X$14)),2)</f>
        <v>45.0</v>
      </c>
      <c r="Z14" s="12">
        <f>ROUND(IF($W$14&lt;=0,0,MIN(MAX(0,$W$14+$X$14-$Y$14),MAX(0,$AB$14-$F$14-$K$14-$P$14-$U$14))),2)</f>
        <v>0.0</v>
      </c>
      <c r="AA14" s="12">
        <f>ROUND(MAX(0,$W$14+$X$14-$Y$14-$Z$14),2)</f>
        <v>450.0</v>
      </c>
      <c r="AB14" s="12">
        <f>ROUND(ExtraPayment+IF($G$13&lt;=0,AmexCardMinPayment,0)+IF($L$13&lt;=0,VisaCardMinPayment,0)+IF($Q$13&lt;=0,PersonalLoanMinPayment,0)+IF($V$13&lt;=0,AutoLoanMinPayment,0)+IF($AA$13&lt;=0,FurnitureCardMinPayment,0),2)</f>
        <v>350.0</v>
      </c>
      <c r="AC14" s="12">
        <f>ROUND(SUM($D$14,$I$14,$N$14,$S$14,$X$14),2)</f>
        <v>212.91</v>
      </c>
      <c r="AD14" s="12">
        <f>ROUND(SUM($G$14,$L$14,$Q$14,$V$14,$AA$14),2)</f>
        <v>20764.63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891.23</v>
      </c>
      <c r="D15" s="12">
        <f>ROUND(IF($C$15&lt;=0,0,$C$15*AmexCardAPR/12),2)</f>
        <v>20.05</v>
      </c>
      <c r="E15" s="12">
        <f>ROUND(IF($C$15&lt;=0,0,MIN(AmexCardMinPayment,$C$15+$D$15)),2)</f>
        <v>156.0</v>
      </c>
      <c r="F15" s="12">
        <f>ROUND(IF($C$15&lt;=0,0,MIN(MAX(0,$C$15+$D$15-$E$15),$AB$15)),2)</f>
        <v>350.0</v>
      </c>
      <c r="G15" s="12">
        <f>ROUND(MAX(0,$C$15+$D$15-$E$15-$F$15),2)</f>
        <v>405.28</v>
      </c>
      <c r="H15" s="12">
        <f>$L$14</f>
        <v>4016.44</v>
      </c>
      <c r="I15" s="12">
        <f>ROUND(IF($H$15&lt;=0,0,$H$15*VisaCardAPR/12),2)</f>
        <v>73.6</v>
      </c>
      <c r="J15" s="12">
        <f>ROUND(IF($H$15&lt;=0,0,MIN(VisaCardMinPayment,$H$15+$I$15)),2)</f>
        <v>138.0</v>
      </c>
      <c r="K15" s="12">
        <f>ROUND(IF($H$15&lt;=0,0,MIN(MAX(0,$H$15+$I$15-$J$15),MAX(0,$AB$15-$F$15))),2)</f>
        <v>0.0</v>
      </c>
      <c r="L15" s="12">
        <f>ROUND(MAX(0,$H$15+$I$15-$J$15-$K$15),2)</f>
        <v>3952.04</v>
      </c>
      <c r="M15" s="12">
        <f>$Q$14</f>
        <v>5483.06</v>
      </c>
      <c r="N15" s="12">
        <f>ROUND(IF($M$15&lt;=0,0,$M$15*PersonalLoanAPR/12),2)</f>
        <v>57.07</v>
      </c>
      <c r="O15" s="12">
        <f>ROUND(IF($M$15&lt;=0,0,MIN(PersonalLoanMinPayment,$M$15+$N$15)),2)</f>
        <v>207.0</v>
      </c>
      <c r="P15" s="12">
        <f>ROUND(IF($M$15&lt;=0,0,MIN(MAX(0,$M$15+$N$15-$O$15),MAX(0,$AB$15-$F$15-$K$15))),2)</f>
        <v>0.0</v>
      </c>
      <c r="Q15" s="12">
        <f>ROUND(MAX(0,$M$15+$N$15-$O$15-$P$15),2)</f>
        <v>5333.13</v>
      </c>
      <c r="R15" s="12">
        <f>$V$14</f>
        <v>9923.9</v>
      </c>
      <c r="S15" s="12">
        <f>ROUND(IF($R$15&lt;=0,0,$R$15*AutoLoanAPR/12),2)</f>
        <v>47.55</v>
      </c>
      <c r="T15" s="12">
        <f>ROUND(IF($R$15&lt;=0,0,MIN(AutoLoanMinPayment,$R$15+$S$15)),2)</f>
        <v>312.0</v>
      </c>
      <c r="U15" s="12">
        <f>ROUND(IF($R$15&lt;=0,0,MIN(MAX(0,$R$15+$S$15-$T$15),MAX(0,$AB$15-$F$15-$K$15-$P$15))),2)</f>
        <v>0.0</v>
      </c>
      <c r="V15" s="12">
        <f>ROUND(MAX(0,$R$15+$S$15-$T$15-$U$15),2)</f>
        <v>9659.45</v>
      </c>
      <c r="W15" s="12">
        <f>$AA$14</f>
        <v>450.0</v>
      </c>
      <c r="X15" s="12">
        <f>ROUND(IF($W$15&lt;=0,0,$W$15*FurnitureCardAPR/12),2)</f>
        <v>0.0</v>
      </c>
      <c r="Y15" s="12">
        <f>ROUND(IF($W$15&lt;=0,0,MIN(FurnitureCardMinPayment,$W$15+$X$15)),2)</f>
        <v>45.0</v>
      </c>
      <c r="Z15" s="12">
        <f>ROUND(IF($W$15&lt;=0,0,MIN(MAX(0,$W$15+$X$15-$Y$15),MAX(0,$AB$15-$F$15-$K$15-$P$15-$U$15))),2)</f>
        <v>0.0</v>
      </c>
      <c r="AA15" s="12">
        <f>ROUND(MAX(0,$W$15+$X$15-$Y$15-$Z$15),2)</f>
        <v>405.0</v>
      </c>
      <c r="AB15" s="12">
        <f>ROUND(ExtraPayment+IF($G$14&lt;=0,AmexCardMinPayment,0)+IF($L$14&lt;=0,VisaCardMinPayment,0)+IF($Q$14&lt;=0,PersonalLoanMinPayment,0)+IF($V$14&lt;=0,AutoLoanMinPayment,0)+IF($AA$14&lt;=0,FurnitureCardMinPayment,0),2)</f>
        <v>350.0</v>
      </c>
      <c r="AC15" s="12">
        <f>ROUND(SUM($D$15,$I$15,$N$15,$S$15,$X$15),2)</f>
        <v>198.27</v>
      </c>
      <c r="AD15" s="12">
        <f>ROUND(SUM($G$15,$L$15,$Q$15,$V$15,$AA$15),2)</f>
        <v>19754.9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405.28</v>
      </c>
      <c r="D16" s="12">
        <f>ROUND(IF($C$16&lt;=0,0,$C$16*AmexCardAPR/12),2)</f>
        <v>9.12</v>
      </c>
      <c r="E16" s="12">
        <f>ROUND(IF($C$16&lt;=0,0,MIN(AmexCardMinPayment,$C$16+$D$16)),2)</f>
        <v>156.0</v>
      </c>
      <c r="F16" s="12">
        <f>ROUND(IF($C$16&lt;=0,0,MIN(MAX(0,$C$16+$D$16-$E$16),$AB$16)),2)</f>
        <v>258.4</v>
      </c>
      <c r="G16" s="12">
        <f>ROUND(MAX(0,$C$16+$D$16-$E$16-$F$16),2)</f>
        <v>0.0</v>
      </c>
      <c r="H16" s="12">
        <f>$L$15</f>
        <v>3952.04</v>
      </c>
      <c r="I16" s="12">
        <f>ROUND(IF($H$16&lt;=0,0,$H$16*VisaCardAPR/12),2)</f>
        <v>72.42</v>
      </c>
      <c r="J16" s="12">
        <f>ROUND(IF($H$16&lt;=0,0,MIN(VisaCardMinPayment,$H$16+$I$16)),2)</f>
        <v>138.0</v>
      </c>
      <c r="K16" s="12">
        <f>ROUND(IF($H$16&lt;=0,0,MIN(MAX(0,$H$16+$I$16-$J$16),MAX(0,$AB$16-$F$16))),2)</f>
        <v>91.6</v>
      </c>
      <c r="L16" s="12">
        <f>ROUND(MAX(0,$H$16+$I$16-$J$16-$K$16),2)</f>
        <v>3794.86</v>
      </c>
      <c r="M16" s="12">
        <f>$Q$15</f>
        <v>5333.13</v>
      </c>
      <c r="N16" s="12">
        <f>ROUND(IF($M$16&lt;=0,0,$M$16*PersonalLoanAPR/12),2)</f>
        <v>55.51</v>
      </c>
      <c r="O16" s="12">
        <f>ROUND(IF($M$16&lt;=0,0,MIN(PersonalLoanMinPayment,$M$16+$N$16)),2)</f>
        <v>207.0</v>
      </c>
      <c r="P16" s="12">
        <f>ROUND(IF($M$16&lt;=0,0,MIN(MAX(0,$M$16+$N$16-$O$16),MAX(0,$AB$16-$F$16-$K$16))),2)</f>
        <v>0.0</v>
      </c>
      <c r="Q16" s="12">
        <f>ROUND(MAX(0,$M$16+$N$16-$O$16-$P$16),2)</f>
        <v>5181.64</v>
      </c>
      <c r="R16" s="12">
        <f>$V$15</f>
        <v>9659.45</v>
      </c>
      <c r="S16" s="12">
        <f>ROUND(IF($R$16&lt;=0,0,$R$16*AutoLoanAPR/12),2)</f>
        <v>46.28</v>
      </c>
      <c r="T16" s="12">
        <f>ROUND(IF($R$16&lt;=0,0,MIN(AutoLoanMinPayment,$R$16+$S$16)),2)</f>
        <v>312.0</v>
      </c>
      <c r="U16" s="12">
        <f>ROUND(IF($R$16&lt;=0,0,MIN(MAX(0,$R$16+$S$16-$T$16),MAX(0,$AB$16-$F$16-$K$16-$P$16))),2)</f>
        <v>0.0</v>
      </c>
      <c r="V16" s="12">
        <f>ROUND(MAX(0,$R$16+$S$16-$T$16-$U$16),2)</f>
        <v>9393.73</v>
      </c>
      <c r="W16" s="12">
        <f>$AA$15</f>
        <v>405.0</v>
      </c>
      <c r="X16" s="12">
        <f>ROUND(IF($W$16&lt;=0,0,$W$16*FurnitureCardAPR/12),2)</f>
        <v>0.0</v>
      </c>
      <c r="Y16" s="12">
        <f>ROUND(IF($W$16&lt;=0,0,MIN(FurnitureCardMinPayment,$W$16+$X$16)),2)</f>
        <v>45.0</v>
      </c>
      <c r="Z16" s="12">
        <f>ROUND(IF($W$16&lt;=0,0,MIN(MAX(0,$W$16+$X$16-$Y$16),MAX(0,$AB$16-$F$16-$K$16-$P$16-$U$16))),2)</f>
        <v>0.0</v>
      </c>
      <c r="AA16" s="12">
        <f>ROUND(MAX(0,$W$16+$X$16-$Y$16-$Z$16),2)</f>
        <v>360.0</v>
      </c>
      <c r="AB16" s="12">
        <f>ROUND(ExtraPayment+IF($G$15&lt;=0,AmexCardMinPayment,0)+IF($L$15&lt;=0,VisaCardMinPayment,0)+IF($Q$15&lt;=0,PersonalLoanMinPayment,0)+IF($V$15&lt;=0,AutoLoanMinPayment,0)+IF($AA$15&lt;=0,FurnitureCardMinPayment,0),2)</f>
        <v>350.0</v>
      </c>
      <c r="AC16" s="12">
        <f>ROUND(SUM($D$16,$I$16,$N$16,$S$16,$X$16),2)</f>
        <v>183.33</v>
      </c>
      <c r="AD16" s="12">
        <f>ROUND(SUM($G$16,$L$16,$Q$16,$V$16,$AA$16),2)</f>
        <v>18730.23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ROUND(IF($C$17&lt;=0,0,$C$17*AmexCardAPR/12),2)</f>
        <v>0.0</v>
      </c>
      <c r="E17" s="12">
        <f>ROUND(IF($C$17&lt;=0,0,MIN(AmexCardMinPayment,$C$17+$D$17)),2)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3794.86</v>
      </c>
      <c r="I17" s="12">
        <f>ROUND(IF($H$17&lt;=0,0,$H$17*VisaCardAPR/12),2)</f>
        <v>69.54</v>
      </c>
      <c r="J17" s="12">
        <f>ROUND(IF($H$17&lt;=0,0,MIN(VisaCardMinPayment,$H$17+$I$17)),2)</f>
        <v>138.0</v>
      </c>
      <c r="K17" s="12">
        <f>ROUND(IF($H$17&lt;=0,0,MIN(MAX(0,$H$17+$I$17-$J$17),MAX(0,$AB$17-$F$17))),2)</f>
        <v>506.0</v>
      </c>
      <c r="L17" s="12">
        <f>ROUND(MAX(0,$H$17+$I$17-$J$17-$K$17),2)</f>
        <v>3220.4</v>
      </c>
      <c r="M17" s="12">
        <f>$Q$16</f>
        <v>5181.64</v>
      </c>
      <c r="N17" s="12">
        <f>ROUND(IF($M$17&lt;=0,0,$M$17*PersonalLoanAPR/12),2)</f>
        <v>53.93</v>
      </c>
      <c r="O17" s="12">
        <f>ROUND(IF($M$17&lt;=0,0,MIN(PersonalLoanMinPayment,$M$17+$N$17)),2)</f>
        <v>207.0</v>
      </c>
      <c r="P17" s="12">
        <f>ROUND(IF($M$17&lt;=0,0,MIN(MAX(0,$M$17+$N$17-$O$17),MAX(0,$AB$17-$F$17-$K$17))),2)</f>
        <v>0.0</v>
      </c>
      <c r="Q17" s="12">
        <f>ROUND(MAX(0,$M$17+$N$17-$O$17-$P$17),2)</f>
        <v>5028.57</v>
      </c>
      <c r="R17" s="12">
        <f>$V$16</f>
        <v>9393.73</v>
      </c>
      <c r="S17" s="12">
        <f>ROUND(IF($R$17&lt;=0,0,$R$17*AutoLoanAPR/12),2)</f>
        <v>45.01</v>
      </c>
      <c r="T17" s="12">
        <f>ROUND(IF($R$17&lt;=0,0,MIN(AutoLoanMinPayment,$R$17+$S$17)),2)</f>
        <v>312.0</v>
      </c>
      <c r="U17" s="12">
        <f>ROUND(IF($R$17&lt;=0,0,MIN(MAX(0,$R$17+$S$17-$T$17),MAX(0,$AB$17-$F$17-$K$17-$P$17))),2)</f>
        <v>0.0</v>
      </c>
      <c r="V17" s="12">
        <f>ROUND(MAX(0,$R$17+$S$17-$T$17-$U$17),2)</f>
        <v>9126.74</v>
      </c>
      <c r="W17" s="12">
        <f>$AA$16</f>
        <v>360.0</v>
      </c>
      <c r="X17" s="12">
        <f>ROUND(IF($W$17&lt;=0,0,$W$17*FurnitureCardAPR/12),2)</f>
        <v>0.0</v>
      </c>
      <c r="Y17" s="12">
        <f>ROUND(IF($W$17&lt;=0,0,MIN(FurnitureCardMinPayment,$W$17+$X$17)),2)</f>
        <v>45.0</v>
      </c>
      <c r="Z17" s="12">
        <f>ROUND(IF($W$17&lt;=0,0,MIN(MAX(0,$W$17+$X$17-$Y$17),MAX(0,$AB$17-$F$17-$K$17-$P$17-$U$17))),2)</f>
        <v>0.0</v>
      </c>
      <c r="AA17" s="12">
        <f>ROUND(MAX(0,$W$17+$X$17-$Y$17-$Z$17),2)</f>
        <v>315.0</v>
      </c>
      <c r="AB17" s="12">
        <f>ROUND(ExtraPayment+IF($G$16&lt;=0,AmexCardMinPayment,0)+IF($L$16&lt;=0,VisaCardMinPayment,0)+IF($Q$16&lt;=0,PersonalLoanMinPayment,0)+IF($V$16&lt;=0,AutoLoanMinPayment,0)+IF($AA$16&lt;=0,FurnitureCardMinPayment,0),2)</f>
        <v>506.0</v>
      </c>
      <c r="AC17" s="12">
        <f>ROUND(SUM($D$17,$I$17,$N$17,$S$17,$X$17),2)</f>
        <v>168.48</v>
      </c>
      <c r="AD17" s="12">
        <f>ROUND(SUM($G$17,$L$17,$Q$17,$V$17,$AA$17),2)</f>
        <v>17690.71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ROUND(IF($C$18&lt;=0,0,$C$18*AmexCardAPR/12),2)</f>
        <v>0.0</v>
      </c>
      <c r="E18" s="12">
        <f>ROUND(IF($C$18&lt;=0,0,MIN(AmexCardMinPayment,$C$18+$D$18)),2)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3220.4</v>
      </c>
      <c r="I18" s="12">
        <f>ROUND(IF($H$18&lt;=0,0,$H$18*VisaCardAPR/12),2)</f>
        <v>59.01</v>
      </c>
      <c r="J18" s="12">
        <f>ROUND(IF($H$18&lt;=0,0,MIN(VisaCardMinPayment,$H$18+$I$18)),2)</f>
        <v>138.0</v>
      </c>
      <c r="K18" s="12">
        <f>ROUND(IF($H$18&lt;=0,0,MIN(MAX(0,$H$18+$I$18-$J$18),MAX(0,$AB$18-$F$18))),2)</f>
        <v>506.0</v>
      </c>
      <c r="L18" s="12">
        <f>ROUND(MAX(0,$H$18+$I$18-$J$18-$K$18),2)</f>
        <v>2635.41</v>
      </c>
      <c r="M18" s="12">
        <f>$Q$17</f>
        <v>5028.57</v>
      </c>
      <c r="N18" s="12">
        <f>ROUND(IF($M$18&lt;=0,0,$M$18*PersonalLoanAPR/12),2)</f>
        <v>52.34</v>
      </c>
      <c r="O18" s="12">
        <f>ROUND(IF($M$18&lt;=0,0,MIN(PersonalLoanMinPayment,$M$18+$N$18)),2)</f>
        <v>207.0</v>
      </c>
      <c r="P18" s="12">
        <f>ROUND(IF($M$18&lt;=0,0,MIN(MAX(0,$M$18+$N$18-$O$18),MAX(0,$AB$18-$F$18-$K$18))),2)</f>
        <v>0.0</v>
      </c>
      <c r="Q18" s="12">
        <f>ROUND(MAX(0,$M$18+$N$18-$O$18-$P$18),2)</f>
        <v>4873.91</v>
      </c>
      <c r="R18" s="12">
        <f>$V$17</f>
        <v>9126.74</v>
      </c>
      <c r="S18" s="12">
        <f>ROUND(IF($R$18&lt;=0,0,$R$18*AutoLoanAPR/12),2)</f>
        <v>43.73</v>
      </c>
      <c r="T18" s="12">
        <f>ROUND(IF($R$18&lt;=0,0,MIN(AutoLoanMinPayment,$R$18+$S$18)),2)</f>
        <v>312.0</v>
      </c>
      <c r="U18" s="12">
        <f>ROUND(IF($R$18&lt;=0,0,MIN(MAX(0,$R$18+$S$18-$T$18),MAX(0,$AB$18-$F$18-$K$18-$P$18))),2)</f>
        <v>0.0</v>
      </c>
      <c r="V18" s="12">
        <f>ROUND(MAX(0,$R$18+$S$18-$T$18-$U$18),2)</f>
        <v>8858.47</v>
      </c>
      <c r="W18" s="12">
        <f>$AA$17</f>
        <v>315.0</v>
      </c>
      <c r="X18" s="12">
        <f>ROUND(IF($W$18&lt;=0,0,$W$18*FurnitureCardAPR/12),2)</f>
        <v>0.0</v>
      </c>
      <c r="Y18" s="12">
        <f>ROUND(IF($W$18&lt;=0,0,MIN(FurnitureCardMinPayment,$W$18+$X$18)),2)</f>
        <v>45.0</v>
      </c>
      <c r="Z18" s="12">
        <f>ROUND(IF($W$18&lt;=0,0,MIN(MAX(0,$W$18+$X$18-$Y$18),MAX(0,$AB$18-$F$18-$K$18-$P$18-$U$18))),2)</f>
        <v>0.0</v>
      </c>
      <c r="AA18" s="12">
        <f>ROUND(MAX(0,$W$18+$X$18-$Y$18-$Z$18),2)</f>
        <v>270.0</v>
      </c>
      <c r="AB18" s="12">
        <f>ROUND(ExtraPayment+IF($G$17&lt;=0,AmexCardMinPayment,0)+IF($L$17&lt;=0,VisaCardMinPayment,0)+IF($Q$17&lt;=0,PersonalLoanMinPayment,0)+IF($V$17&lt;=0,AutoLoanMinPayment,0)+IF($AA$17&lt;=0,FurnitureCardMinPayment,0),2)</f>
        <v>506.0</v>
      </c>
      <c r="AC18" s="12">
        <f>ROUND(SUM($D$18,$I$18,$N$18,$S$18,$X$18),2)</f>
        <v>155.08</v>
      </c>
      <c r="AD18" s="12">
        <f>ROUND(SUM($G$18,$L$18,$Q$18,$V$18,$AA$18),2)</f>
        <v>16637.79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ROUND(IF($C$19&lt;=0,0,$C$19*AmexCardAPR/12),2)</f>
        <v>0.0</v>
      </c>
      <c r="E19" s="12">
        <f>ROUND(IF($C$19&lt;=0,0,MIN(AmexCardMinPayment,$C$19+$D$19)),2)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2635.41</v>
      </c>
      <c r="I19" s="12">
        <f>ROUND(IF($H$19&lt;=0,0,$H$19*VisaCardAPR/12),2)</f>
        <v>48.29</v>
      </c>
      <c r="J19" s="12">
        <f>ROUND(IF($H$19&lt;=0,0,MIN(VisaCardMinPayment,$H$19+$I$19)),2)</f>
        <v>138.0</v>
      </c>
      <c r="K19" s="12">
        <f>ROUND(IF($H$19&lt;=0,0,MIN(MAX(0,$H$19+$I$19-$J$19),MAX(0,$AB$19-$F$19))),2)</f>
        <v>506.0</v>
      </c>
      <c r="L19" s="12">
        <f>ROUND(MAX(0,$H$19+$I$19-$J$19-$K$19),2)</f>
        <v>2039.7</v>
      </c>
      <c r="M19" s="12">
        <f>$Q$18</f>
        <v>4873.91</v>
      </c>
      <c r="N19" s="12">
        <f>ROUND(IF($M$19&lt;=0,0,$M$19*PersonalLoanAPR/12),2)</f>
        <v>50.73</v>
      </c>
      <c r="O19" s="12">
        <f>ROUND(IF($M$19&lt;=0,0,MIN(PersonalLoanMinPayment,$M$19+$N$19)),2)</f>
        <v>207.0</v>
      </c>
      <c r="P19" s="12">
        <f>ROUND(IF($M$19&lt;=0,0,MIN(MAX(0,$M$19+$N$19-$O$19),MAX(0,$AB$19-$F$19-$K$19))),2)</f>
        <v>0.0</v>
      </c>
      <c r="Q19" s="12">
        <f>ROUND(MAX(0,$M$19+$N$19-$O$19-$P$19),2)</f>
        <v>4717.64</v>
      </c>
      <c r="R19" s="12">
        <f>$V$18</f>
        <v>8858.47</v>
      </c>
      <c r="S19" s="12">
        <f>ROUND(IF($R$19&lt;=0,0,$R$19*AutoLoanAPR/12),2)</f>
        <v>42.45</v>
      </c>
      <c r="T19" s="12">
        <f>ROUND(IF($R$19&lt;=0,0,MIN(AutoLoanMinPayment,$R$19+$S$19)),2)</f>
        <v>312.0</v>
      </c>
      <c r="U19" s="12">
        <f>ROUND(IF($R$19&lt;=0,0,MIN(MAX(0,$R$19+$S$19-$T$19),MAX(0,$AB$19-$F$19-$K$19-$P$19))),2)</f>
        <v>0.0</v>
      </c>
      <c r="V19" s="12">
        <f>ROUND(MAX(0,$R$19+$S$19-$T$19-$U$19),2)</f>
        <v>8588.92</v>
      </c>
      <c r="W19" s="12">
        <f>$AA$18</f>
        <v>270.0</v>
      </c>
      <c r="X19" s="12">
        <f>ROUND(IF($W$19&lt;=0,0,$W$19*FurnitureCardAPR/12),2)</f>
        <v>0.0</v>
      </c>
      <c r="Y19" s="12">
        <f>ROUND(IF($W$19&lt;=0,0,MIN(FurnitureCardMinPayment,$W$19+$X$19)),2)</f>
        <v>45.0</v>
      </c>
      <c r="Z19" s="12">
        <f>ROUND(IF($W$19&lt;=0,0,MIN(MAX(0,$W$19+$X$19-$Y$19),MAX(0,$AB$19-$F$19-$K$19-$P$19-$U$19))),2)</f>
        <v>0.0</v>
      </c>
      <c r="AA19" s="12">
        <f>ROUND(MAX(0,$W$19+$X$19-$Y$19-$Z$19),2)</f>
        <v>225.0</v>
      </c>
      <c r="AB19" s="12">
        <f>ROUND(ExtraPayment+IF($G$18&lt;=0,AmexCardMinPayment,0)+IF($L$18&lt;=0,VisaCardMinPayment,0)+IF($Q$18&lt;=0,PersonalLoanMinPayment,0)+IF($V$18&lt;=0,AutoLoanMinPayment,0)+IF($AA$18&lt;=0,FurnitureCardMinPayment,0),2)</f>
        <v>506.0</v>
      </c>
      <c r="AC19" s="12">
        <f>ROUND(SUM($D$19,$I$19,$N$19,$S$19,$X$19),2)</f>
        <v>141.47</v>
      </c>
      <c r="AD19" s="12">
        <f>ROUND(SUM($G$19,$L$19,$Q$19,$V$19,$AA$19),2)</f>
        <v>15571.26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ROUND(IF($C$20&lt;=0,0,$C$20*AmexCardAPR/12),2)</f>
        <v>0.0</v>
      </c>
      <c r="E20" s="12">
        <f>ROUND(IF($C$20&lt;=0,0,MIN(AmexCardMinPayment,$C$20+$D$20)),2)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2039.7</v>
      </c>
      <c r="I20" s="12">
        <f>ROUND(IF($H$20&lt;=0,0,$H$20*VisaCardAPR/12),2)</f>
        <v>37.38</v>
      </c>
      <c r="J20" s="12">
        <f>ROUND(IF($H$20&lt;=0,0,MIN(VisaCardMinPayment,$H$20+$I$20)),2)</f>
        <v>138.0</v>
      </c>
      <c r="K20" s="12">
        <f>ROUND(IF($H$20&lt;=0,0,MIN(MAX(0,$H$20+$I$20-$J$20),MAX(0,$AB$20-$F$20))),2)</f>
        <v>506.0</v>
      </c>
      <c r="L20" s="12">
        <f>ROUND(MAX(0,$H$20+$I$20-$J$20-$K$20),2)</f>
        <v>1433.08</v>
      </c>
      <c r="M20" s="12">
        <f>$Q$19</f>
        <v>4717.64</v>
      </c>
      <c r="N20" s="12">
        <f>ROUND(IF($M$20&lt;=0,0,$M$20*PersonalLoanAPR/12),2)</f>
        <v>49.1</v>
      </c>
      <c r="O20" s="12">
        <f>ROUND(IF($M$20&lt;=0,0,MIN(PersonalLoanMinPayment,$M$20+$N$20)),2)</f>
        <v>207.0</v>
      </c>
      <c r="P20" s="12">
        <f>ROUND(IF($M$20&lt;=0,0,MIN(MAX(0,$M$20+$N$20-$O$20),MAX(0,$AB$20-$F$20-$K$20))),2)</f>
        <v>0.0</v>
      </c>
      <c r="Q20" s="12">
        <f>ROUND(MAX(0,$M$20+$N$20-$O$20-$P$20),2)</f>
        <v>4559.74</v>
      </c>
      <c r="R20" s="12">
        <f>$V$19</f>
        <v>8588.92</v>
      </c>
      <c r="S20" s="12">
        <f>ROUND(IF($R$20&lt;=0,0,$R$20*AutoLoanAPR/12),2)</f>
        <v>41.16</v>
      </c>
      <c r="T20" s="12">
        <f>ROUND(IF($R$20&lt;=0,0,MIN(AutoLoanMinPayment,$R$20+$S$20)),2)</f>
        <v>312.0</v>
      </c>
      <c r="U20" s="12">
        <f>ROUND(IF($R$20&lt;=0,0,MIN(MAX(0,$R$20+$S$20-$T$20),MAX(0,$AB$20-$F$20-$K$20-$P$20))),2)</f>
        <v>0.0</v>
      </c>
      <c r="V20" s="12">
        <f>ROUND(MAX(0,$R$20+$S$20-$T$20-$U$20),2)</f>
        <v>8318.08</v>
      </c>
      <c r="W20" s="12">
        <f>$AA$19</f>
        <v>225.0</v>
      </c>
      <c r="X20" s="12">
        <f>ROUND(IF($W$20&lt;=0,0,$W$20*FurnitureCardAPR/12),2)</f>
        <v>0.0</v>
      </c>
      <c r="Y20" s="12">
        <f>ROUND(IF($W$20&lt;=0,0,MIN(FurnitureCardMinPayment,$W$20+$X$20)),2)</f>
        <v>45.0</v>
      </c>
      <c r="Z20" s="12">
        <f>ROUND(IF($W$20&lt;=0,0,MIN(MAX(0,$W$20+$X$20-$Y$20),MAX(0,$AB$20-$F$20-$K$20-$P$20-$U$20))),2)</f>
        <v>0.0</v>
      </c>
      <c r="AA20" s="12">
        <f>ROUND(MAX(0,$W$20+$X$20-$Y$20-$Z$20),2)</f>
        <v>180.0</v>
      </c>
      <c r="AB20" s="12">
        <f>ROUND(ExtraPayment+IF($G$19&lt;=0,AmexCardMinPayment,0)+IF($L$19&lt;=0,VisaCardMinPayment,0)+IF($Q$19&lt;=0,PersonalLoanMinPayment,0)+IF($V$19&lt;=0,AutoLoanMinPayment,0)+IF($AA$19&lt;=0,FurnitureCardMinPayment,0),2)</f>
        <v>506.0</v>
      </c>
      <c r="AC20" s="12">
        <f>ROUND(SUM($D$20,$I$20,$N$20,$S$20,$X$20),2)</f>
        <v>127.64</v>
      </c>
      <c r="AD20" s="12">
        <f>ROUND(SUM($G$20,$L$20,$Q$20,$V$20,$AA$20),2)</f>
        <v>14490.9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ROUND(IF($C$21&lt;=0,0,$C$21*AmexCardAPR/12),2)</f>
        <v>0.0</v>
      </c>
      <c r="E21" s="12">
        <f>ROUND(IF($C$21&lt;=0,0,MIN(AmexCardMinPayment,$C$21+$D$21)),2)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1433.08</v>
      </c>
      <c r="I21" s="12">
        <f>ROUND(IF($H$21&lt;=0,0,$H$21*VisaCardAPR/12),2)</f>
        <v>26.26</v>
      </c>
      <c r="J21" s="12">
        <f>ROUND(IF($H$21&lt;=0,0,MIN(VisaCardMinPayment,$H$21+$I$21)),2)</f>
        <v>138.0</v>
      </c>
      <c r="K21" s="12">
        <f>ROUND(IF($H$21&lt;=0,0,MIN(MAX(0,$H$21+$I$21-$J$21),MAX(0,$AB$21-$F$21))),2)</f>
        <v>506.0</v>
      </c>
      <c r="L21" s="12">
        <f>ROUND(MAX(0,$H$21+$I$21-$J$21-$K$21),2)</f>
        <v>815.34</v>
      </c>
      <c r="M21" s="12">
        <f>$Q$20</f>
        <v>4559.74</v>
      </c>
      <c r="N21" s="12">
        <f>ROUND(IF($M$21&lt;=0,0,$M$21*PersonalLoanAPR/12),2)</f>
        <v>47.46</v>
      </c>
      <c r="O21" s="12">
        <f>ROUND(IF($M$21&lt;=0,0,MIN(PersonalLoanMinPayment,$M$21+$N$21)),2)</f>
        <v>207.0</v>
      </c>
      <c r="P21" s="12">
        <f>ROUND(IF($M$21&lt;=0,0,MIN(MAX(0,$M$21+$N$21-$O$21),MAX(0,$AB$21-$F$21-$K$21))),2)</f>
        <v>0.0</v>
      </c>
      <c r="Q21" s="12">
        <f>ROUND(MAX(0,$M$21+$N$21-$O$21-$P$21),2)</f>
        <v>4400.2</v>
      </c>
      <c r="R21" s="12">
        <f>$V$20</f>
        <v>8318.08</v>
      </c>
      <c r="S21" s="12">
        <f>ROUND(IF($R$21&lt;=0,0,$R$21*AutoLoanAPR/12),2)</f>
        <v>39.86</v>
      </c>
      <c r="T21" s="12">
        <f>ROUND(IF($R$21&lt;=0,0,MIN(AutoLoanMinPayment,$R$21+$S$21)),2)</f>
        <v>312.0</v>
      </c>
      <c r="U21" s="12">
        <f>ROUND(IF($R$21&lt;=0,0,MIN(MAX(0,$R$21+$S$21-$T$21),MAX(0,$AB$21-$F$21-$K$21-$P$21))),2)</f>
        <v>0.0</v>
      </c>
      <c r="V21" s="12">
        <f>ROUND(MAX(0,$R$21+$S$21-$T$21-$U$21),2)</f>
        <v>8045.94</v>
      </c>
      <c r="W21" s="12">
        <f>$AA$20</f>
        <v>180.0</v>
      </c>
      <c r="X21" s="12">
        <f>ROUND(IF($W$21&lt;=0,0,$W$21*FurnitureCardAPR/12),2)</f>
        <v>0.0</v>
      </c>
      <c r="Y21" s="12">
        <f>ROUND(IF($W$21&lt;=0,0,MIN(FurnitureCardMinPayment,$W$21+$X$21)),2)</f>
        <v>45.0</v>
      </c>
      <c r="Z21" s="12">
        <f>ROUND(IF($W$21&lt;=0,0,MIN(MAX(0,$W$21+$X$21-$Y$21),MAX(0,$AB$21-$F$21-$K$21-$P$21-$U$21))),2)</f>
        <v>0.0</v>
      </c>
      <c r="AA21" s="12">
        <f>ROUND(MAX(0,$W$21+$X$21-$Y$21-$Z$21),2)</f>
        <v>135.0</v>
      </c>
      <c r="AB21" s="12">
        <f>ROUND(ExtraPayment+IF($G$20&lt;=0,AmexCardMinPayment,0)+IF($L$20&lt;=0,VisaCardMinPayment,0)+IF($Q$20&lt;=0,PersonalLoanMinPayment,0)+IF($V$20&lt;=0,AutoLoanMinPayment,0)+IF($AA$20&lt;=0,FurnitureCardMinPayment,0),2)</f>
        <v>506.0</v>
      </c>
      <c r="AC21" s="12">
        <f>ROUND(SUM($D$21,$I$21,$N$21,$S$21,$X$21),2)</f>
        <v>113.58</v>
      </c>
      <c r="AD21" s="12">
        <f>ROUND(SUM($G$21,$L$21,$Q$21,$V$21,$AA$21),2)</f>
        <v>13396.48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ROUND(IF($C$22&lt;=0,0,$C$22*AmexCardAPR/12),2)</f>
        <v>0.0</v>
      </c>
      <c r="E22" s="12">
        <f>ROUND(IF($C$22&lt;=0,0,MIN(AmexCardMinPayment,$C$22+$D$22)),2)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815.34</v>
      </c>
      <c r="I22" s="12">
        <f>ROUND(IF($H$22&lt;=0,0,$H$22*VisaCardAPR/12),2)</f>
        <v>14.94</v>
      </c>
      <c r="J22" s="12">
        <f>ROUND(IF($H$22&lt;=0,0,MIN(VisaCardMinPayment,$H$22+$I$22)),2)</f>
        <v>138.0</v>
      </c>
      <c r="K22" s="12">
        <f>ROUND(IF($H$22&lt;=0,0,MIN(MAX(0,$H$22+$I$22-$J$22),MAX(0,$AB$22-$F$22))),2)</f>
        <v>506.0</v>
      </c>
      <c r="L22" s="12">
        <f>ROUND(MAX(0,$H$22+$I$22-$J$22-$K$22),2)</f>
        <v>186.28</v>
      </c>
      <c r="M22" s="12">
        <f>$Q$21</f>
        <v>4400.2</v>
      </c>
      <c r="N22" s="12">
        <f>ROUND(IF($M$22&lt;=0,0,$M$22*PersonalLoanAPR/12),2)</f>
        <v>45.8</v>
      </c>
      <c r="O22" s="12">
        <f>ROUND(IF($M$22&lt;=0,0,MIN(PersonalLoanMinPayment,$M$22+$N$22)),2)</f>
        <v>207.0</v>
      </c>
      <c r="P22" s="12">
        <f>ROUND(IF($M$22&lt;=0,0,MIN(MAX(0,$M$22+$N$22-$O$22),MAX(0,$AB$22-$F$22-$K$22))),2)</f>
        <v>0.0</v>
      </c>
      <c r="Q22" s="12">
        <f>ROUND(MAX(0,$M$22+$N$22-$O$22-$P$22),2)</f>
        <v>4239.0</v>
      </c>
      <c r="R22" s="12">
        <f>$V$21</f>
        <v>8045.94</v>
      </c>
      <c r="S22" s="12">
        <f>ROUND(IF($R$22&lt;=0,0,$R$22*AutoLoanAPR/12),2)</f>
        <v>38.55</v>
      </c>
      <c r="T22" s="12">
        <f>ROUND(IF($R$22&lt;=0,0,MIN(AutoLoanMinPayment,$R$22+$S$22)),2)</f>
        <v>312.0</v>
      </c>
      <c r="U22" s="12">
        <f>ROUND(IF($R$22&lt;=0,0,MIN(MAX(0,$R$22+$S$22-$T$22),MAX(0,$AB$22-$F$22-$K$22-$P$22))),2)</f>
        <v>0.0</v>
      </c>
      <c r="V22" s="12">
        <f>ROUND(MAX(0,$R$22+$S$22-$T$22-$U$22),2)</f>
        <v>7772.49</v>
      </c>
      <c r="W22" s="12">
        <f>$AA$21</f>
        <v>135.0</v>
      </c>
      <c r="X22" s="12">
        <f>ROUND(IF($W$22&lt;=0,0,$W$22*FurnitureCardAPR/12),2)</f>
        <v>0.0</v>
      </c>
      <c r="Y22" s="12">
        <f>ROUND(IF($W$22&lt;=0,0,MIN(FurnitureCardMinPayment,$W$22+$X$22)),2)</f>
        <v>45.0</v>
      </c>
      <c r="Z22" s="12">
        <f>ROUND(IF($W$22&lt;=0,0,MIN(MAX(0,$W$22+$X$22-$Y$22),MAX(0,$AB$22-$F$22-$K$22-$P$22-$U$22))),2)</f>
        <v>0.0</v>
      </c>
      <c r="AA22" s="12">
        <f>ROUND(MAX(0,$W$22+$X$22-$Y$22-$Z$22),2)</f>
        <v>90.0</v>
      </c>
      <c r="AB22" s="12">
        <f>ROUND(ExtraPayment+IF($G$21&lt;=0,AmexCardMinPayment,0)+IF($L$21&lt;=0,VisaCardMinPayment,0)+IF($Q$21&lt;=0,PersonalLoanMinPayment,0)+IF($V$21&lt;=0,AutoLoanMinPayment,0)+IF($AA$21&lt;=0,FurnitureCardMinPayment,0),2)</f>
        <v>506.0</v>
      </c>
      <c r="AC22" s="12">
        <f>ROUND(SUM($D$22,$I$22,$N$22,$S$22,$X$22),2)</f>
        <v>99.29</v>
      </c>
      <c r="AD22" s="12">
        <f>ROUND(SUM($G$22,$L$22,$Q$22,$V$22,$AA$22),2)</f>
        <v>12287.77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ROUND(IF($C$23&lt;=0,0,$C$23*AmexCardAPR/12),2)</f>
        <v>0.0</v>
      </c>
      <c r="E23" s="12">
        <f>ROUND(IF($C$23&lt;=0,0,MIN(AmexCardMinPayment,$C$23+$D$23)),2)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186.28</v>
      </c>
      <c r="I23" s="12">
        <f>ROUND(IF($H$23&lt;=0,0,$H$23*VisaCardAPR/12),2)</f>
        <v>3.41</v>
      </c>
      <c r="J23" s="12">
        <f>ROUND(IF($H$23&lt;=0,0,MIN(VisaCardMinPayment,$H$23+$I$23)),2)</f>
        <v>138.0</v>
      </c>
      <c r="K23" s="12">
        <f>ROUND(IF($H$23&lt;=0,0,MIN(MAX(0,$H$23+$I$23-$J$23),MAX(0,$AB$23-$F$23))),2)</f>
        <v>51.69</v>
      </c>
      <c r="L23" s="12">
        <f>ROUND(MAX(0,$H$23+$I$23-$J$23-$K$23),2)</f>
        <v>0.0</v>
      </c>
      <c r="M23" s="12">
        <f>$Q$22</f>
        <v>4239.0</v>
      </c>
      <c r="N23" s="12">
        <f>ROUND(IF($M$23&lt;=0,0,$M$23*PersonalLoanAPR/12),2)</f>
        <v>44.12</v>
      </c>
      <c r="O23" s="12">
        <f>ROUND(IF($M$23&lt;=0,0,MIN(PersonalLoanMinPayment,$M$23+$N$23)),2)</f>
        <v>207.0</v>
      </c>
      <c r="P23" s="12">
        <f>ROUND(IF($M$23&lt;=0,0,MIN(MAX(0,$M$23+$N$23-$O$23),MAX(0,$AB$23-$F$23-$K$23))),2)</f>
        <v>454.31</v>
      </c>
      <c r="Q23" s="12">
        <f>ROUND(MAX(0,$M$23+$N$23-$O$23-$P$23),2)</f>
        <v>3621.81</v>
      </c>
      <c r="R23" s="12">
        <f>$V$22</f>
        <v>7772.49</v>
      </c>
      <c r="S23" s="12">
        <f>ROUND(IF($R$23&lt;=0,0,$R$23*AutoLoanAPR/12),2)</f>
        <v>37.24</v>
      </c>
      <c r="T23" s="12">
        <f>ROUND(IF($R$23&lt;=0,0,MIN(AutoLoanMinPayment,$R$23+$S$23)),2)</f>
        <v>312.0</v>
      </c>
      <c r="U23" s="12">
        <f>ROUND(IF($R$23&lt;=0,0,MIN(MAX(0,$R$23+$S$23-$T$23),MAX(0,$AB$23-$F$23-$K$23-$P$23))),2)</f>
        <v>0.0</v>
      </c>
      <c r="V23" s="12">
        <f>ROUND(MAX(0,$R$23+$S$23-$T$23-$U$23),2)</f>
        <v>7497.73</v>
      </c>
      <c r="W23" s="12">
        <f>$AA$22</f>
        <v>90.0</v>
      </c>
      <c r="X23" s="12">
        <f>ROUND(IF($W$23&lt;=0,0,$W$23*FurnitureCardAPR/12),2)</f>
        <v>0.0</v>
      </c>
      <c r="Y23" s="12">
        <f>ROUND(IF($W$23&lt;=0,0,MIN(FurnitureCardMinPayment,$W$23+$X$23)),2)</f>
        <v>45.0</v>
      </c>
      <c r="Z23" s="12">
        <f>ROUND(IF($W$23&lt;=0,0,MIN(MAX(0,$W$23+$X$23-$Y$23),MAX(0,$AB$23-$F$23-$K$23-$P$23-$U$23))),2)</f>
        <v>0.0</v>
      </c>
      <c r="AA23" s="12">
        <f>ROUND(MAX(0,$W$23+$X$23-$Y$23-$Z$23),2)</f>
        <v>45.0</v>
      </c>
      <c r="AB23" s="12">
        <f>ROUND(ExtraPayment+IF($G$22&lt;=0,AmexCardMinPayment,0)+IF($L$22&lt;=0,VisaCardMinPayment,0)+IF($Q$22&lt;=0,PersonalLoanMinPayment,0)+IF($V$22&lt;=0,AutoLoanMinPayment,0)+IF($AA$22&lt;=0,FurnitureCardMinPayment,0),2)</f>
        <v>506.0</v>
      </c>
      <c r="AC23" s="12">
        <f>ROUND(SUM($D$23,$I$23,$N$23,$S$23,$X$23),2)</f>
        <v>84.77</v>
      </c>
      <c r="AD23" s="12">
        <f>ROUND(SUM($G$23,$L$23,$Q$23,$V$23,$AA$23),2)</f>
        <v>11164.54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ROUND(IF($C$24&lt;=0,0,$C$24*AmexCardAPR/12),2)</f>
        <v>0.0</v>
      </c>
      <c r="E24" s="12">
        <f>ROUND(IF($C$24&lt;=0,0,MIN(AmexCardMinPayment,$C$24+$D$24)),2)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ROUND(IF($H$24&lt;=0,0,$H$24*VisaCardAPR/12),2)</f>
        <v>0.0</v>
      </c>
      <c r="J24" s="12">
        <f>ROUND(IF($H$24&lt;=0,0,MIN(VisaCardMinPayment,$H$24+$I$24)),2)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3621.81</v>
      </c>
      <c r="N24" s="12">
        <f>ROUND(IF($M$24&lt;=0,0,$M$24*PersonalLoanAPR/12),2)</f>
        <v>37.7</v>
      </c>
      <c r="O24" s="12">
        <f>ROUND(IF($M$24&lt;=0,0,MIN(PersonalLoanMinPayment,$M$24+$N$24)),2)</f>
        <v>207.0</v>
      </c>
      <c r="P24" s="12">
        <f>ROUND(IF($M$24&lt;=0,0,MIN(MAX(0,$M$24+$N$24-$O$24),MAX(0,$AB$24-$F$24-$K$24))),2)</f>
        <v>644.0</v>
      </c>
      <c r="Q24" s="12">
        <f>ROUND(MAX(0,$M$24+$N$24-$O$24-$P$24),2)</f>
        <v>2808.51</v>
      </c>
      <c r="R24" s="12">
        <f>$V$23</f>
        <v>7497.73</v>
      </c>
      <c r="S24" s="12">
        <f>ROUND(IF($R$24&lt;=0,0,$R$24*AutoLoanAPR/12),2)</f>
        <v>35.93</v>
      </c>
      <c r="T24" s="12">
        <f>ROUND(IF($R$24&lt;=0,0,MIN(AutoLoanMinPayment,$R$24+$S$24)),2)</f>
        <v>312.0</v>
      </c>
      <c r="U24" s="12">
        <f>ROUND(IF($R$24&lt;=0,0,MIN(MAX(0,$R$24+$S$24-$T$24),MAX(0,$AB$24-$F$24-$K$24-$P$24))),2)</f>
        <v>0.0</v>
      </c>
      <c r="V24" s="12">
        <f>ROUND(MAX(0,$R$24+$S$24-$T$24-$U$24),2)</f>
        <v>7221.66</v>
      </c>
      <c r="W24" s="12">
        <f>$AA$23</f>
        <v>45.0</v>
      </c>
      <c r="X24" s="12">
        <f>ROUND(IF($W$24&lt;=0,0,$W$24*FurnitureCardAPR/12),2)</f>
        <v>0.0</v>
      </c>
      <c r="Y24" s="12">
        <f>ROUND(IF($W$24&lt;=0,0,MIN(FurnitureCardMinPayment,$W$24+$X$24)),2)</f>
        <v>45.0</v>
      </c>
      <c r="Z24" s="12">
        <f>ROUND(IF($W$24&lt;=0,0,MIN(MAX(0,$W$24+$X$24-$Y$24),MAX(0,$AB$24-$F$24-$K$24-$P$24-$U$24))),2)</f>
        <v>0.0</v>
      </c>
      <c r="AA24" s="12">
        <f>ROUND(MAX(0,$W$24+$X$24-$Y$24-$Z$24),2)</f>
        <v>0.0</v>
      </c>
      <c r="AB24" s="12">
        <f>ROUND(ExtraPayment+IF($G$23&lt;=0,AmexCardMinPayment,0)+IF($L$23&lt;=0,VisaCardMinPayment,0)+IF($Q$23&lt;=0,PersonalLoanMinPayment,0)+IF($V$23&lt;=0,AutoLoanMinPayment,0)+IF($AA$23&lt;=0,FurnitureCardMinPayment,0),2)</f>
        <v>644.0</v>
      </c>
      <c r="AC24" s="12">
        <f>ROUND(SUM($D$24,$I$24,$N$24,$S$24,$X$24),2)</f>
        <v>73.63</v>
      </c>
      <c r="AD24" s="12">
        <f>ROUND(SUM($G$24,$L$24,$Q$24,$V$24,$AA$24),2)</f>
        <v>10030.17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ROUND(IF($C$25&lt;=0,0,$C$25*AmexCardAPR/12),2)</f>
        <v>0.0</v>
      </c>
      <c r="E25" s="12">
        <f>ROUND(IF($C$25&lt;=0,0,MIN(AmexCardMinPayment,$C$25+$D$25)),2)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ROUND(IF($H$25&lt;=0,0,$H$25*VisaCardAPR/12),2)</f>
        <v>0.0</v>
      </c>
      <c r="J25" s="12">
        <f>ROUND(IF($H$25&lt;=0,0,MIN(VisaCardMinPayment,$H$25+$I$25)),2)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2808.51</v>
      </c>
      <c r="N25" s="12">
        <f>ROUND(IF($M$25&lt;=0,0,$M$25*PersonalLoanAPR/12),2)</f>
        <v>29.23</v>
      </c>
      <c r="O25" s="12">
        <f>ROUND(IF($M$25&lt;=0,0,MIN(PersonalLoanMinPayment,$M$25+$N$25)),2)</f>
        <v>207.0</v>
      </c>
      <c r="P25" s="12">
        <f>ROUND(IF($M$25&lt;=0,0,MIN(MAX(0,$M$25+$N$25-$O$25),MAX(0,$AB$25-$F$25-$K$25))),2)</f>
        <v>689.0</v>
      </c>
      <c r="Q25" s="12">
        <f>ROUND(MAX(0,$M$25+$N$25-$O$25-$P$25),2)</f>
        <v>1941.74</v>
      </c>
      <c r="R25" s="12">
        <f>$V$24</f>
        <v>7221.66</v>
      </c>
      <c r="S25" s="12">
        <f>ROUND(IF($R$25&lt;=0,0,$R$25*AutoLoanAPR/12),2)</f>
        <v>34.6</v>
      </c>
      <c r="T25" s="12">
        <f>ROUND(IF($R$25&lt;=0,0,MIN(AutoLoanMinPayment,$R$25+$S$25)),2)</f>
        <v>312.0</v>
      </c>
      <c r="U25" s="12">
        <f>ROUND(IF($R$25&lt;=0,0,MIN(MAX(0,$R$25+$S$25-$T$25),MAX(0,$AB$25-$F$25-$K$25-$P$25))),2)</f>
        <v>0.0</v>
      </c>
      <c r="V25" s="12">
        <f>ROUND(MAX(0,$R$25+$S$25-$T$25-$U$25),2)</f>
        <v>6944.26</v>
      </c>
      <c r="W25" s="12">
        <f>$AA$24</f>
        <v>0.0</v>
      </c>
      <c r="X25" s="12">
        <f>ROUND(IF($W$25&lt;=0,0,$W$25*FurnitureCardAPR/12),2)</f>
        <v>0.0</v>
      </c>
      <c r="Y25" s="12">
        <f>ROUND(IF($W$25&lt;=0,0,MIN(FurnitureCardMinPayment,$W$25+$X$25)),2)</f>
        <v>0.0</v>
      </c>
      <c r="Z25" s="12">
        <f>ROUND(IF($W$25&lt;=0,0,MIN(MAX(0,$W$25+$X$25-$Y$25),MAX(0,$AB$25-$F$25-$K$25-$P$25-$U$25))),2)</f>
        <v>0.0</v>
      </c>
      <c r="AA25" s="12">
        <f>ROUND(MAX(0,$W$25+$X$25-$Y$25-$Z$25),2)</f>
        <v>0.0</v>
      </c>
      <c r="AB25" s="12">
        <f>ROUND(ExtraPayment+IF($G$24&lt;=0,AmexCardMinPayment,0)+IF($L$24&lt;=0,VisaCardMinPayment,0)+IF($Q$24&lt;=0,PersonalLoanMinPayment,0)+IF($V$24&lt;=0,AutoLoanMinPayment,0)+IF($AA$24&lt;=0,FurnitureCardMinPayment,0),2)</f>
        <v>689.0</v>
      </c>
      <c r="AC25" s="12">
        <f>ROUND(SUM($D$25,$I$25,$N$25,$S$25,$X$25),2)</f>
        <v>63.83</v>
      </c>
      <c r="AD25" s="12">
        <f>ROUND(SUM($G$25,$L$25,$Q$25,$V$25,$AA$25),2)</f>
        <v>8886.0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ROUND(IF($C$26&lt;=0,0,$C$26*AmexCardAPR/12),2)</f>
        <v>0.0</v>
      </c>
      <c r="E26" s="12">
        <f>ROUND(IF($C$26&lt;=0,0,MIN(AmexCardMinPayment,$C$26+$D$26)),2)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ROUND(IF($H$26&lt;=0,0,$H$26*VisaCardAPR/12),2)</f>
        <v>0.0</v>
      </c>
      <c r="J26" s="12">
        <f>ROUND(IF($H$26&lt;=0,0,MIN(VisaCardMinPayment,$H$26+$I$26)),2)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1941.74</v>
      </c>
      <c r="N26" s="12">
        <f>ROUND(IF($M$26&lt;=0,0,$M$26*PersonalLoanAPR/12),2)</f>
        <v>20.21</v>
      </c>
      <c r="O26" s="12">
        <f>ROUND(IF($M$26&lt;=0,0,MIN(PersonalLoanMinPayment,$M$26+$N$26)),2)</f>
        <v>207.0</v>
      </c>
      <c r="P26" s="12">
        <f>ROUND(IF($M$26&lt;=0,0,MIN(MAX(0,$M$26+$N$26-$O$26),MAX(0,$AB$26-$F$26-$K$26))),2)</f>
        <v>689.0</v>
      </c>
      <c r="Q26" s="12">
        <f>ROUND(MAX(0,$M$26+$N$26-$O$26-$P$26),2)</f>
        <v>1065.95</v>
      </c>
      <c r="R26" s="12">
        <f>$V$25</f>
        <v>6944.26</v>
      </c>
      <c r="S26" s="12">
        <f>ROUND(IF($R$26&lt;=0,0,$R$26*AutoLoanAPR/12),2)</f>
        <v>33.27</v>
      </c>
      <c r="T26" s="12">
        <f>ROUND(IF($R$26&lt;=0,0,MIN(AutoLoanMinPayment,$R$26+$S$26)),2)</f>
        <v>312.0</v>
      </c>
      <c r="U26" s="12">
        <f>ROUND(IF($R$26&lt;=0,0,MIN(MAX(0,$R$26+$S$26-$T$26),MAX(0,$AB$26-$F$26-$K$26-$P$26))),2)</f>
        <v>0.0</v>
      </c>
      <c r="V26" s="12">
        <f>ROUND(MAX(0,$R$26+$S$26-$T$26-$U$26),2)</f>
        <v>6665.53</v>
      </c>
      <c r="W26" s="12">
        <f>$AA$25</f>
        <v>0.0</v>
      </c>
      <c r="X26" s="12">
        <f>ROUND(IF($W$26&lt;=0,0,$W$26*FurnitureCardAPR/12),2)</f>
        <v>0.0</v>
      </c>
      <c r="Y26" s="12">
        <f>ROUND(IF($W$26&lt;=0,0,MIN(FurnitureCardMinPayment,$W$26+$X$26)),2)</f>
        <v>0.0</v>
      </c>
      <c r="Z26" s="12">
        <f>ROUND(IF($W$26&lt;=0,0,MIN(MAX(0,$W$26+$X$26-$Y$26),MAX(0,$AB$26-$F$26-$K$26-$P$26-$U$26))),2)</f>
        <v>0.0</v>
      </c>
      <c r="AA26" s="12">
        <f>ROUND(MAX(0,$W$26+$X$26-$Y$26-$Z$26),2)</f>
        <v>0.0</v>
      </c>
      <c r="AB26" s="12">
        <f>ROUND(ExtraPayment+IF($G$25&lt;=0,AmexCardMinPayment,0)+IF($L$25&lt;=0,VisaCardMinPayment,0)+IF($Q$25&lt;=0,PersonalLoanMinPayment,0)+IF($V$25&lt;=0,AutoLoanMinPayment,0)+IF($AA$25&lt;=0,FurnitureCardMinPayment,0),2)</f>
        <v>689.0</v>
      </c>
      <c r="AC26" s="12">
        <f>ROUND(SUM($D$26,$I$26,$N$26,$S$26,$X$26),2)</f>
        <v>53.48</v>
      </c>
      <c r="AD26" s="12">
        <f>ROUND(SUM($G$26,$L$26,$Q$26,$V$26,$AA$26),2)</f>
        <v>7731.48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ROUND(IF($C$27&lt;=0,0,$C$27*AmexCardAPR/12),2)</f>
        <v>0.0</v>
      </c>
      <c r="E27" s="12">
        <f>ROUND(IF($C$27&lt;=0,0,MIN(AmexCardMinPayment,$C$27+$D$27)),2)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ROUND(IF($H$27&lt;=0,0,$H$27*VisaCardAPR/12),2)</f>
        <v>0.0</v>
      </c>
      <c r="J27" s="12">
        <f>ROUND(IF($H$27&lt;=0,0,MIN(VisaCardMinPayment,$H$27+$I$27)),2)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1065.95</v>
      </c>
      <c r="N27" s="12">
        <f>ROUND(IF($M$27&lt;=0,0,$M$27*PersonalLoanAPR/12),2)</f>
        <v>11.09</v>
      </c>
      <c r="O27" s="12">
        <f>ROUND(IF($M$27&lt;=0,0,MIN(PersonalLoanMinPayment,$M$27+$N$27)),2)</f>
        <v>207.0</v>
      </c>
      <c r="P27" s="12">
        <f>ROUND(IF($M$27&lt;=0,0,MIN(MAX(0,$M$27+$N$27-$O$27),MAX(0,$AB$27-$F$27-$K$27))),2)</f>
        <v>689.0</v>
      </c>
      <c r="Q27" s="12">
        <f>ROUND(MAX(0,$M$27+$N$27-$O$27-$P$27),2)</f>
        <v>181.04</v>
      </c>
      <c r="R27" s="12">
        <f>$V$26</f>
        <v>6665.53</v>
      </c>
      <c r="S27" s="12">
        <f>ROUND(IF($R$27&lt;=0,0,$R$27*AutoLoanAPR/12),2)</f>
        <v>31.94</v>
      </c>
      <c r="T27" s="12">
        <f>ROUND(IF($R$27&lt;=0,0,MIN(AutoLoanMinPayment,$R$27+$S$27)),2)</f>
        <v>312.0</v>
      </c>
      <c r="U27" s="12">
        <f>ROUND(IF($R$27&lt;=0,0,MIN(MAX(0,$R$27+$S$27-$T$27),MAX(0,$AB$27-$F$27-$K$27-$P$27))),2)</f>
        <v>0.0</v>
      </c>
      <c r="V27" s="12">
        <f>ROUND(MAX(0,$R$27+$S$27-$T$27-$U$27),2)</f>
        <v>6385.47</v>
      </c>
      <c r="W27" s="12">
        <f>$AA$26</f>
        <v>0.0</v>
      </c>
      <c r="X27" s="12">
        <f>ROUND(IF($W$27&lt;=0,0,$W$27*FurnitureCardAPR/12),2)</f>
        <v>0.0</v>
      </c>
      <c r="Y27" s="12">
        <f>ROUND(IF($W$27&lt;=0,0,MIN(FurnitureCardMinPayment,$W$27+$X$27)),2)</f>
        <v>0.0</v>
      </c>
      <c r="Z27" s="12">
        <f>ROUND(IF($W$27&lt;=0,0,MIN(MAX(0,$W$27+$X$27-$Y$27),MAX(0,$AB$27-$F$27-$K$27-$P$27-$U$27))),2)</f>
        <v>0.0</v>
      </c>
      <c r="AA27" s="12">
        <f>ROUND(MAX(0,$W$27+$X$27-$Y$27-$Z$27),2)</f>
        <v>0.0</v>
      </c>
      <c r="AB27" s="12">
        <f>ROUND(ExtraPayment+IF($G$26&lt;=0,AmexCardMinPayment,0)+IF($L$26&lt;=0,VisaCardMinPayment,0)+IF($Q$26&lt;=0,PersonalLoanMinPayment,0)+IF($V$26&lt;=0,AutoLoanMinPayment,0)+IF($AA$26&lt;=0,FurnitureCardMinPayment,0),2)</f>
        <v>689.0</v>
      </c>
      <c r="AC27" s="12">
        <f>ROUND(SUM($D$27,$I$27,$N$27,$S$27,$X$27),2)</f>
        <v>43.03</v>
      </c>
      <c r="AD27" s="12">
        <f>ROUND(SUM($G$27,$L$27,$Q$27,$V$27,$AA$27),2)</f>
        <v>6566.51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ROUND(IF($C$28&lt;=0,0,$C$28*AmexCardAPR/12),2)</f>
        <v>0.0</v>
      </c>
      <c r="E28" s="12">
        <f>ROUND(IF($C$28&lt;=0,0,MIN(AmexCardMinPayment,$C$28+$D$28)),2)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ROUND(IF($H$28&lt;=0,0,$H$28*VisaCardAPR/12),2)</f>
        <v>0.0</v>
      </c>
      <c r="J28" s="12">
        <f>ROUND(IF($H$28&lt;=0,0,MIN(VisaCardMinPayment,$H$28+$I$28)),2)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181.04</v>
      </c>
      <c r="N28" s="12">
        <f>ROUND(IF($M$28&lt;=0,0,$M$28*PersonalLoanAPR/12),2)</f>
        <v>1.88</v>
      </c>
      <c r="O28" s="12">
        <f>ROUND(IF($M$28&lt;=0,0,MIN(PersonalLoanMinPayment,$M$28+$N$28)),2)</f>
        <v>182.92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6385.47</v>
      </c>
      <c r="S28" s="12">
        <f>ROUND(IF($R$28&lt;=0,0,$R$28*AutoLoanAPR/12),2)</f>
        <v>30.6</v>
      </c>
      <c r="T28" s="12">
        <f>ROUND(IF($R$28&lt;=0,0,MIN(AutoLoanMinPayment,$R$28+$S$28)),2)</f>
        <v>312.0</v>
      </c>
      <c r="U28" s="12">
        <f>ROUND(IF($R$28&lt;=0,0,MIN(MAX(0,$R$28+$S$28-$T$28),MAX(0,$AB$28-$F$28-$K$28-$P$28))),2)</f>
        <v>689.0</v>
      </c>
      <c r="V28" s="12">
        <f>ROUND(MAX(0,$R$28+$S$28-$T$28-$U$28),2)</f>
        <v>5415.07</v>
      </c>
      <c r="W28" s="12">
        <f>$AA$27</f>
        <v>0.0</v>
      </c>
      <c r="X28" s="12">
        <f>ROUND(IF($W$28&lt;=0,0,$W$28*FurnitureCardAPR/12),2)</f>
        <v>0.0</v>
      </c>
      <c r="Y28" s="12">
        <f>ROUND(IF($W$28&lt;=0,0,MIN(FurnitureCardMinPayment,$W$28+$X$28)),2)</f>
        <v>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ROUND(ExtraPayment+IF($G$27&lt;=0,AmexCardMinPayment,0)+IF($L$27&lt;=0,VisaCardMinPayment,0)+IF($Q$27&lt;=0,PersonalLoanMinPayment,0)+IF($V$27&lt;=0,AutoLoanMinPayment,0)+IF($AA$27&lt;=0,FurnitureCardMinPayment,0),2)</f>
        <v>689.0</v>
      </c>
      <c r="AC28" s="12">
        <f>ROUND(SUM($D$28,$I$28,$N$28,$S$28,$X$28),2)</f>
        <v>32.48</v>
      </c>
      <c r="AD28" s="12">
        <f>ROUND(SUM($G$28,$L$28,$Q$28,$V$28,$AA$28),2)</f>
        <v>5415.07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ROUND(IF($C$29&lt;=0,0,$C$29*AmexCardAPR/12),2)</f>
        <v>0.0</v>
      </c>
      <c r="E29" s="12">
        <f>ROUND(IF($C$29&lt;=0,0,MIN(AmexCardMinPayment,$C$29+$D$29)),2)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ROUND(IF($H$29&lt;=0,0,$H$29*VisaCardAPR/12),2)</f>
        <v>0.0</v>
      </c>
      <c r="J29" s="12">
        <f>ROUND(IF($H$29&lt;=0,0,MIN(VisaCardMinPayment,$H$29+$I$29)),2)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5415.07</v>
      </c>
      <c r="S29" s="12">
        <f>ROUND(IF($R$29&lt;=0,0,$R$29*AutoLoanAPR/12),2)</f>
        <v>25.95</v>
      </c>
      <c r="T29" s="12">
        <f>ROUND(IF($R$29&lt;=0,0,MIN(AutoLoanMinPayment,$R$29+$S$29)),2)</f>
        <v>312.0</v>
      </c>
      <c r="U29" s="12">
        <f>ROUND(IF($R$29&lt;=0,0,MIN(MAX(0,$R$29+$S$29-$T$29),MAX(0,$AB$29-$F$29-$K$29-$P$29))),2)</f>
        <v>896.0</v>
      </c>
      <c r="V29" s="12">
        <f>ROUND(MAX(0,$R$29+$S$29-$T$29-$U$29),2)</f>
        <v>4233.02</v>
      </c>
      <c r="W29" s="12">
        <f>$AA$28</f>
        <v>0.0</v>
      </c>
      <c r="X29" s="12">
        <f>ROUND(IF($W$29&lt;=0,0,$W$29*FurnitureCardAPR/12),2)</f>
        <v>0.0</v>
      </c>
      <c r="Y29" s="12">
        <f>ROUND(IF($W$29&lt;=0,0,MIN(FurnitureCardMinPayment,$W$29+$X$29)),2)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ROUND(ExtraPayment+IF($G$28&lt;=0,AmexCardMinPayment,0)+IF($L$28&lt;=0,VisaCardMinPayment,0)+IF($Q$28&lt;=0,PersonalLoanMinPayment,0)+IF($V$28&lt;=0,AutoLoanMinPayment,0)+IF($AA$28&lt;=0,FurnitureCardMinPayment,0),2)</f>
        <v>896.0</v>
      </c>
      <c r="AC29" s="12">
        <f>ROUND(SUM($D$29,$I$29,$N$29,$S$29,$X$29),2)</f>
        <v>25.95</v>
      </c>
      <c r="AD29" s="12">
        <f>ROUND(SUM($G$29,$L$29,$Q$29,$V$29,$AA$29),2)</f>
        <v>4233.02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ROUND(IF($C$30&lt;=0,0,$C$30*AmexCardAPR/12),2)</f>
        <v>0.0</v>
      </c>
      <c r="E30" s="12">
        <f>ROUND(IF($C$30&lt;=0,0,MIN(AmexCardMinPayment,$C$30+$D$30)),2)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ROUND(IF($H$30&lt;=0,0,$H$30*VisaCardAPR/12),2)</f>
        <v>0.0</v>
      </c>
      <c r="J30" s="12">
        <f>ROUND(IF($H$30&lt;=0,0,MIN(VisaCardMinPayment,$H$30+$I$30)),2)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4233.02</v>
      </c>
      <c r="S30" s="12">
        <f>ROUND(IF($R$30&lt;=0,0,$R$30*AutoLoanAPR/12),2)</f>
        <v>20.28</v>
      </c>
      <c r="T30" s="12">
        <f>ROUND(IF($R$30&lt;=0,0,MIN(AutoLoanMinPayment,$R$30+$S$30)),2)</f>
        <v>312.0</v>
      </c>
      <c r="U30" s="12">
        <f>ROUND(IF($R$30&lt;=0,0,MIN(MAX(0,$R$30+$S$30-$T$30),MAX(0,$AB$30-$F$30-$K$30-$P$30))),2)</f>
        <v>896.0</v>
      </c>
      <c r="V30" s="12">
        <f>ROUND(MAX(0,$R$30+$S$30-$T$30-$U$30),2)</f>
        <v>3045.3</v>
      </c>
      <c r="W30" s="12">
        <f>$AA$29</f>
        <v>0.0</v>
      </c>
      <c r="X30" s="12">
        <f>ROUND(IF($W$30&lt;=0,0,$W$30*FurnitureCardAPR/12),2)</f>
        <v>0.0</v>
      </c>
      <c r="Y30" s="12">
        <f>ROUND(IF($W$30&lt;=0,0,MIN(FurnitureCardMinPayment,$W$30+$X$30)),2)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ROUND(ExtraPayment+IF($G$29&lt;=0,AmexCardMinPayment,0)+IF($L$29&lt;=0,VisaCardMinPayment,0)+IF($Q$29&lt;=0,PersonalLoanMinPayment,0)+IF($V$29&lt;=0,AutoLoanMinPayment,0)+IF($AA$29&lt;=0,FurnitureCardMinPayment,0),2)</f>
        <v>896.0</v>
      </c>
      <c r="AC30" s="12">
        <f>ROUND(SUM($D$30,$I$30,$N$30,$S$30,$X$30),2)</f>
        <v>20.28</v>
      </c>
      <c r="AD30" s="12">
        <f>ROUND(SUM($G$30,$L$30,$Q$30,$V$30,$AA$30),2)</f>
        <v>3045.3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ROUND(IF($C$31&lt;=0,0,$C$31*AmexCardAPR/12),2)</f>
        <v>0.0</v>
      </c>
      <c r="E31" s="12">
        <f>ROUND(IF($C$31&lt;=0,0,MIN(AmexCardMinPayment,$C$31+$D$31)),2)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ROUND(IF($H$31&lt;=0,0,$H$31*VisaCardAPR/12),2)</f>
        <v>0.0</v>
      </c>
      <c r="J31" s="12">
        <f>ROUND(IF($H$31&lt;=0,0,MIN(VisaCardMinPayment,$H$31+$I$31)),2)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3045.3</v>
      </c>
      <c r="S31" s="12">
        <f>ROUND(IF($R$31&lt;=0,0,$R$31*AutoLoanAPR/12),2)</f>
        <v>14.59</v>
      </c>
      <c r="T31" s="12">
        <f>ROUND(IF($R$31&lt;=0,0,MIN(AutoLoanMinPayment,$R$31+$S$31)),2)</f>
        <v>312.0</v>
      </c>
      <c r="U31" s="12">
        <f>ROUND(IF($R$31&lt;=0,0,MIN(MAX(0,$R$31+$S$31-$T$31),MAX(0,$AB$31-$F$31-$K$31-$P$31))),2)</f>
        <v>896.0</v>
      </c>
      <c r="V31" s="12">
        <f>ROUND(MAX(0,$R$31+$S$31-$T$31-$U$31),2)</f>
        <v>1851.89</v>
      </c>
      <c r="W31" s="12">
        <f>$AA$30</f>
        <v>0.0</v>
      </c>
      <c r="X31" s="12">
        <f>ROUND(IF($W$31&lt;=0,0,$W$31*FurnitureCardAPR/12),2)</f>
        <v>0.0</v>
      </c>
      <c r="Y31" s="12">
        <f>ROUND(IF($W$31&lt;=0,0,MIN(FurnitureCardMinPayment,$W$31+$X$31)),2)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ROUND(ExtraPayment+IF($G$30&lt;=0,AmexCardMinPayment,0)+IF($L$30&lt;=0,VisaCardMinPayment,0)+IF($Q$30&lt;=0,PersonalLoanMinPayment,0)+IF($V$30&lt;=0,AutoLoanMinPayment,0)+IF($AA$30&lt;=0,FurnitureCardMinPayment,0),2)</f>
        <v>896.0</v>
      </c>
      <c r="AC31" s="12">
        <f>ROUND(SUM($D$31,$I$31,$N$31,$S$31,$X$31),2)</f>
        <v>14.59</v>
      </c>
      <c r="AD31" s="12">
        <f>ROUND(SUM($G$31,$L$31,$Q$31,$V$31,$AA$31),2)</f>
        <v>1851.89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ROUND(IF($C$32&lt;=0,0,$C$32*AmexCardAPR/12),2)</f>
        <v>0.0</v>
      </c>
      <c r="E32" s="12">
        <f>ROUND(IF($C$32&lt;=0,0,MIN(AmexCardMinPayment,$C$32+$D$32)),2)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ROUND(IF($H$32&lt;=0,0,$H$32*VisaCardAPR/12),2)</f>
        <v>0.0</v>
      </c>
      <c r="J32" s="12">
        <f>ROUND(IF($H$32&lt;=0,0,MIN(VisaCardMinPayment,$H$32+$I$32)),2)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1851.89</v>
      </c>
      <c r="S32" s="12">
        <f>ROUND(IF($R$32&lt;=0,0,$R$32*AutoLoanAPR/12),2)</f>
        <v>8.87</v>
      </c>
      <c r="T32" s="12">
        <f>ROUND(IF($R$32&lt;=0,0,MIN(AutoLoanMinPayment,$R$32+$S$32)),2)</f>
        <v>312.0</v>
      </c>
      <c r="U32" s="12">
        <f>ROUND(IF($R$32&lt;=0,0,MIN(MAX(0,$R$32+$S$32-$T$32),MAX(0,$AB$32-$F$32-$K$32-$P$32))),2)</f>
        <v>896.0</v>
      </c>
      <c r="V32" s="12">
        <f>ROUND(MAX(0,$R$32+$S$32-$T$32-$U$32),2)</f>
        <v>652.76</v>
      </c>
      <c r="W32" s="12">
        <f>$AA$31</f>
        <v>0.0</v>
      </c>
      <c r="X32" s="12">
        <f>ROUND(IF($W$32&lt;=0,0,$W$32*FurnitureCardAPR/12),2)</f>
        <v>0.0</v>
      </c>
      <c r="Y32" s="12">
        <f>ROUND(IF($W$32&lt;=0,0,MIN(FurnitureCardMinPayment,$W$32+$X$32)),2)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ROUND(ExtraPayment+IF($G$31&lt;=0,AmexCardMinPayment,0)+IF($L$31&lt;=0,VisaCardMinPayment,0)+IF($Q$31&lt;=0,PersonalLoanMinPayment,0)+IF($V$31&lt;=0,AutoLoanMinPayment,0)+IF($AA$31&lt;=0,FurnitureCardMinPayment,0),2)</f>
        <v>896.0</v>
      </c>
      <c r="AC32" s="12">
        <f>ROUND(SUM($D$32,$I$32,$N$32,$S$32,$X$32),2)</f>
        <v>8.87</v>
      </c>
      <c r="AD32" s="12">
        <f>ROUND(SUM($G$32,$L$32,$Q$32,$V$32,$AA$32),2)</f>
        <v>652.76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ROUND(IF($C$33&lt;=0,0,$C$33*AmexCardAPR/12),2)</f>
        <v>0.0</v>
      </c>
      <c r="E33" s="12">
        <f>ROUND(IF($C$33&lt;=0,0,MIN(AmexCardMinPayment,$C$33+$D$33)),2)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ROUND(IF($H$33&lt;=0,0,$H$33*VisaCardAPR/12),2)</f>
        <v>0.0</v>
      </c>
      <c r="J33" s="12">
        <f>ROUND(IF($H$33&lt;=0,0,MIN(VisaCardMinPayment,$H$33+$I$33)),2)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652.76</v>
      </c>
      <c r="S33" s="12">
        <f>ROUND(IF($R$33&lt;=0,0,$R$33*AutoLoanAPR/12),2)</f>
        <v>3.13</v>
      </c>
      <c r="T33" s="12">
        <f>ROUND(IF($R$33&lt;=0,0,MIN(AutoLoanMinPayment,$R$33+$S$33)),2)</f>
        <v>312.0</v>
      </c>
      <c r="U33" s="12">
        <f>ROUND(IF($R$33&lt;=0,0,MIN(MAX(0,$R$33+$S$33-$T$33),MAX(0,$AB$33-$F$33-$K$33-$P$33))),2)</f>
        <v>343.89</v>
      </c>
      <c r="V33" s="12">
        <f>ROUND(MAX(0,$R$33+$S$33-$T$33-$U$33),2)</f>
        <v>0.0</v>
      </c>
      <c r="W33" s="12">
        <f>$AA$32</f>
        <v>0.0</v>
      </c>
      <c r="X33" s="12">
        <f>ROUND(IF($W$33&lt;=0,0,$W$33*FurnitureCardAPR/12),2)</f>
        <v>0.0</v>
      </c>
      <c r="Y33" s="12">
        <f>ROUND(IF($W$33&lt;=0,0,MIN(FurnitureCardMinPayment,$W$33+$X$33)),2)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ROUND(ExtraPayment+IF($G$32&lt;=0,AmexCardMinPayment,0)+IF($L$32&lt;=0,VisaCardMinPayment,0)+IF($Q$32&lt;=0,PersonalLoanMinPayment,0)+IF($V$32&lt;=0,AutoLoanMinPayment,0)+IF($AA$32&lt;=0,FurnitureCardMinPayment,0),2)</f>
        <v>896.0</v>
      </c>
      <c r="AC33" s="12">
        <f>ROUND(SUM($D$33,$I$33,$N$33,$S$33,$X$33),2)</f>
        <v>3.13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&amp;LGoogle Sheets Monthly Check-In Log&amp;CDebtPayoffSpreadsheet.org&amp;Rv1.0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RowHeight="15"/>
  <cols>
    <col min="1" max="2" width="12.7109375" customWidth="1"/>
    <col min="3" max="5" width="14.7109375" customWidth="1"/>
    <col min="6" max="6" width="15.7109375" customWidth="1"/>
    <col min="7" max="7" width="12.7109375" customWidth="1"/>
    <col min="8" max="8" width="18.7109375" customWidth="1"/>
    <col min="9" max="9" width="14.7109375" customWidth="1"/>
    <col min="10" max="10" width="24.7109375" customWidth="1"/>
  </cols>
  <sheetData>
    <row r="1" spans="1:1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</row>
    <row r="2" spans="1:10" ht="28" customHeight="1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64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7" t="s">
        <v>59</v>
      </c>
      <c r="B4" s="7" t="s">
        <v>65</v>
      </c>
      <c r="C4" s="7" t="s">
        <v>66</v>
      </c>
      <c r="D4" s="7" t="s">
        <v>67</v>
      </c>
      <c r="E4" s="7" t="s">
        <v>68</v>
      </c>
      <c r="F4" s="7" t="s">
        <v>69</v>
      </c>
      <c r="G4" s="7" t="s">
        <v>70</v>
      </c>
      <c r="H4" s="7" t="s">
        <v>71</v>
      </c>
      <c r="I4" s="7" t="s">
        <v>72</v>
      </c>
      <c r="J4" s="7" t="s">
        <v>73</v>
      </c>
    </row>
    <row r="5" spans="1:10">
      <c r="A5" s="17" t="str">
        <f>'Avalanche_Schedule'!B5</f>
        <v>Apr 2026</v>
      </c>
      <c r="B5" s="17" t="str">
        <f>TEXT(EDATE(LastReview,0),"mm/dd/yyyy")</f>
        <v>04/03/2026</v>
      </c>
      <c r="C5" s="12">
        <f>TotalMinimums+ExtraPayment</f>
        <v>1208.0</v>
      </c>
      <c r="D5" s="12">
        <f>'Avalanche_Schedule'!AD5</f>
        <v>29224.98</v>
      </c>
      <c r="E5" s="12">
        <f>'Avalanche_Schedule'!AC5</f>
        <v>332.98</v>
      </c>
      <c r="F5" s="12">
        <f>SUM('Avalanche_Schedule'!AC5:AC5)</f>
        <v>332.98</v>
      </c>
      <c r="G5" s="16">
        <f>SUMPRODUCT(--('Avalanche_Schedule'!G5&lt;=0),--('Avalanche_Schedule'!L5&lt;=0),--('Avalanche_Schedule'!Q5&lt;=0),--('Avalanche_Schedule'!V5&lt;=0),--('Avalanche_Schedule'!AA5&lt;=0))</f>
        <v>0</v>
      </c>
      <c r="H5" s="3" t="str">
        <f>IF('Avalanche_Schedule'!G5&gt;0,"Amex Card",IF('Avalanche_Schedule'!L5&gt;0,"Visa Card",IF('Avalanche_Schedule'!Q5&gt;0,"Personal Loan",IF('Avalanche_Schedule'!V5&gt;0,"Auto Loan",IF('Avalanche_Schedule'!AA5&gt;0,"Furniture Promo Card","Debt free")))))</f>
        <v>Amex Card</v>
      </c>
      <c r="I5" s="12">
        <f>TotalDebt-D5</f>
        <v>875.02</v>
      </c>
      <c r="J5" s="3" t="str">
        <f>"Review completed"</f>
        <v>Review completed</v>
      </c>
    </row>
    <row r="6" spans="1:10">
      <c r="A6" s="17" t="str">
        <f>'Avalanche_Schedule'!B6</f>
        <v>May 2026</v>
      </c>
      <c r="B6" s="17" t="str">
        <f>TEXT(EDATE(LastReview,1),"mm/dd/yyyy")</f>
        <v>05/03/2026</v>
      </c>
      <c r="C6" s="12">
        <f>TotalMinimums+ExtraPayment</f>
        <v>1208.0</v>
      </c>
      <c r="D6" s="12">
        <f>'Avalanche_Schedule'!AD6</f>
        <v>28337.6</v>
      </c>
      <c r="E6" s="12">
        <f>'Avalanche_Schedule'!AC6</f>
        <v>320.62</v>
      </c>
      <c r="F6" s="12">
        <f>SUM('Avalanche_Schedule'!AC5:AC6)</f>
        <v>653.6</v>
      </c>
      <c r="G6" s="16">
        <f>SUMPRODUCT(--('Avalanche_Schedule'!G6&lt;=0),--('Avalanche_Schedule'!L6&lt;=0),--('Avalanche_Schedule'!Q6&lt;=0),--('Avalanche_Schedule'!V6&lt;=0),--('Avalanche_Schedule'!AA6&lt;=0))</f>
        <v>0</v>
      </c>
      <c r="H6" s="3" t="str">
        <f>IF('Avalanche_Schedule'!G6&gt;0,"Amex Card",IF('Avalanche_Schedule'!L6&gt;0,"Visa Card",IF('Avalanche_Schedule'!Q6&gt;0,"Personal Loan",IF('Avalanche_Schedule'!V6&gt;0,"Auto Loan",IF('Avalanche_Schedule'!AA6&gt;0,"Furniture Promo Card","Debt free")))))</f>
        <v>Amex Card</v>
      </c>
      <c r="I6" s="12">
        <f>D5-D6</f>
        <v>887.38</v>
      </c>
      <c r="J6" s="3" t="str">
        <f>IF(AND('Avalanche_Schedule'!G5&gt;0,'Avalanche_Schedule'!G6&lt;=0),"Amex Card closed",IF(AND('Avalanche_Schedule'!L5&gt;0,'Avalanche_Schedule'!L6&lt;=0),"Visa Card closed",IF(AND('Avalanche_Schedule'!Q5&gt;0,'Avalanche_Schedule'!Q6&lt;=0),"Personal Loan closed",IF(AND('Avalanche_Schedule'!V5&gt;0,'Avalanche_Schedule'!V6&lt;=0),"Auto Loan closed",IF(AND('Avalanche_Schedule'!AA5&gt;0,'Avalanche_Schedule'!AA6&lt;=0),"Furniture Promo Card closed","Review completed")))))</f>
        <v>Review completed</v>
      </c>
    </row>
    <row r="7" spans="1:10">
      <c r="A7" s="17" t="str">
        <f>'Avalanche_Schedule'!B7</f>
        <v>Jun 2026</v>
      </c>
      <c r="B7" s="17" t="str">
        <f>TEXT(EDATE(LastReview,2),"mm/dd/yyyy")</f>
        <v>06/03/2026</v>
      </c>
      <c r="C7" s="12">
        <f>TotalMinimums+ExtraPayment</f>
        <v>1208.0</v>
      </c>
      <c r="D7" s="12">
        <f>'Avalanche_Schedule'!AD7</f>
        <v>27437.63</v>
      </c>
      <c r="E7" s="12">
        <f>'Avalanche_Schedule'!AC7</f>
        <v>308.03</v>
      </c>
      <c r="F7" s="12">
        <f>SUM('Avalanche_Schedule'!AC5:AC7)</f>
        <v>961.63</v>
      </c>
      <c r="G7" s="16">
        <f>SUMPRODUCT(--('Avalanche_Schedule'!G7&lt;=0),--('Avalanche_Schedule'!L7&lt;=0),--('Avalanche_Schedule'!Q7&lt;=0),--('Avalanche_Schedule'!V7&lt;=0),--('Avalanche_Schedule'!AA7&lt;=0))</f>
        <v>0</v>
      </c>
      <c r="H7" s="3" t="str">
        <f>IF('Avalanche_Schedule'!G7&gt;0,"Amex Card",IF('Avalanche_Schedule'!L7&gt;0,"Visa Card",IF('Avalanche_Schedule'!Q7&gt;0,"Personal Loan",IF('Avalanche_Schedule'!V7&gt;0,"Auto Loan",IF('Avalanche_Schedule'!AA7&gt;0,"Furniture Promo Card","Debt free")))))</f>
        <v>Amex Card</v>
      </c>
      <c r="I7" s="12">
        <f>D6-D7</f>
        <v>899.97</v>
      </c>
      <c r="J7" s="3" t="str">
        <f>IF(AND('Avalanche_Schedule'!G6&gt;0,'Avalanche_Schedule'!G7&lt;=0),"Amex Card closed",IF(AND('Avalanche_Schedule'!L6&gt;0,'Avalanche_Schedule'!L7&lt;=0),"Visa Card closed",IF(AND('Avalanche_Schedule'!Q6&gt;0,'Avalanche_Schedule'!Q7&lt;=0),"Personal Loan closed",IF(AND('Avalanche_Schedule'!V6&gt;0,'Avalanche_Schedule'!V7&lt;=0),"Auto Loan closed",IF(AND('Avalanche_Schedule'!AA6&gt;0,'Avalanche_Schedule'!AA7&lt;=0),"Furniture Promo Card closed","Review completed")))))</f>
        <v>Review completed</v>
      </c>
    </row>
    <row r="8" spans="1:10">
      <c r="A8" s="17" t="str">
        <f>'Avalanche_Schedule'!B8</f>
        <v>Jul 2026</v>
      </c>
      <c r="B8" s="17" t="str">
        <f>TEXT(EDATE(LastReview,3),"mm/dd/yyyy")</f>
        <v>07/03/2026</v>
      </c>
      <c r="C8" s="12">
        <f>TotalMinimums+ExtraPayment</f>
        <v>1208.0</v>
      </c>
      <c r="D8" s="12">
        <f>'Avalanche_Schedule'!AD8</f>
        <v>26524.83</v>
      </c>
      <c r="E8" s="12">
        <f>'Avalanche_Schedule'!AC8</f>
        <v>295.2</v>
      </c>
      <c r="F8" s="12">
        <f>SUM('Avalanche_Schedule'!AC5:AC8)</f>
        <v>1256.83</v>
      </c>
      <c r="G8" s="16">
        <f>SUMPRODUCT(--('Avalanche_Schedule'!G8&lt;=0),--('Avalanche_Schedule'!L8&lt;=0),--('Avalanche_Schedule'!Q8&lt;=0),--('Avalanche_Schedule'!V8&lt;=0),--('Avalanche_Schedule'!AA8&lt;=0))</f>
        <v>0</v>
      </c>
      <c r="H8" s="3" t="str">
        <f>IF('Avalanche_Schedule'!G8&gt;0,"Amex Card",IF('Avalanche_Schedule'!L8&gt;0,"Visa Card",IF('Avalanche_Schedule'!Q8&gt;0,"Personal Loan",IF('Avalanche_Schedule'!V8&gt;0,"Auto Loan",IF('Avalanche_Schedule'!AA8&gt;0,"Furniture Promo Card","Debt free")))))</f>
        <v>Amex Card</v>
      </c>
      <c r="I8" s="12">
        <f>D7-D8</f>
        <v>912.8</v>
      </c>
      <c r="J8" s="3" t="str">
        <f>IF(AND('Avalanche_Schedule'!G7&gt;0,'Avalanche_Schedule'!G8&lt;=0),"Amex Card closed",IF(AND('Avalanche_Schedule'!L7&gt;0,'Avalanche_Schedule'!L8&lt;=0),"Visa Card closed",IF(AND('Avalanche_Schedule'!Q7&gt;0,'Avalanche_Schedule'!Q8&lt;=0),"Personal Loan closed",IF(AND('Avalanche_Schedule'!V7&gt;0,'Avalanche_Schedule'!V8&lt;=0),"Auto Loan closed",IF(AND('Avalanche_Schedule'!AA7&gt;0,'Avalanche_Schedule'!AA8&lt;=0),"Furniture Promo Card closed","Review completed")))))</f>
        <v>Review completed</v>
      </c>
    </row>
    <row r="9" spans="1:10">
      <c r="A9" s="17" t="str">
        <f>'Avalanche_Schedule'!B9</f>
        <v>Aug 2026</v>
      </c>
      <c r="B9" s="17" t="str">
        <f>TEXT(EDATE(LastReview,4),"mm/dd/yyyy")</f>
        <v>08/03/2026</v>
      </c>
      <c r="C9" s="12">
        <f>TotalMinimums+ExtraPayment</f>
        <v>1208.0</v>
      </c>
      <c r="D9" s="12">
        <f>'Avalanche_Schedule'!AD9</f>
        <v>25598.97</v>
      </c>
      <c r="E9" s="12">
        <f>'Avalanche_Schedule'!AC9</f>
        <v>282.14</v>
      </c>
      <c r="F9" s="12">
        <f>SUM('Avalanche_Schedule'!AC5:AC9)</f>
        <v>1538.97</v>
      </c>
      <c r="G9" s="16">
        <f>SUMPRODUCT(--('Avalanche_Schedule'!G9&lt;=0),--('Avalanche_Schedule'!L9&lt;=0),--('Avalanche_Schedule'!Q9&lt;=0),--('Avalanche_Schedule'!V9&lt;=0),--('Avalanche_Schedule'!AA9&lt;=0))</f>
        <v>0</v>
      </c>
      <c r="H9" s="3" t="str">
        <f>IF('Avalanche_Schedule'!G9&gt;0,"Amex Card",IF('Avalanche_Schedule'!L9&gt;0,"Visa Card",IF('Avalanche_Schedule'!Q9&gt;0,"Personal Loan",IF('Avalanche_Schedule'!V9&gt;0,"Auto Loan",IF('Avalanche_Schedule'!AA9&gt;0,"Furniture Promo Card","Debt free")))))</f>
        <v>Amex Card</v>
      </c>
      <c r="I9" s="12">
        <f>D8-D9</f>
        <v>925.86</v>
      </c>
      <c r="J9" s="3" t="str">
        <f>IF(AND('Avalanche_Schedule'!G8&gt;0,'Avalanche_Schedule'!G9&lt;=0),"Amex Card closed",IF(AND('Avalanche_Schedule'!L8&gt;0,'Avalanche_Schedule'!L9&lt;=0),"Visa Card closed",IF(AND('Avalanche_Schedule'!Q8&gt;0,'Avalanche_Schedule'!Q9&lt;=0),"Personal Loan closed",IF(AND('Avalanche_Schedule'!V8&gt;0,'Avalanche_Schedule'!V9&lt;=0),"Auto Loan closed",IF(AND('Avalanche_Schedule'!AA8&gt;0,'Avalanche_Schedule'!AA9&lt;=0),"Furniture Promo Card closed","Review completed")))))</f>
        <v>Review completed</v>
      </c>
    </row>
    <row r="10" spans="1:10">
      <c r="A10" s="17" t="str">
        <f>'Avalanche_Schedule'!B10</f>
        <v>Sep 2026</v>
      </c>
      <c r="B10" s="17" t="str">
        <f>TEXT(EDATE(LastReview,5),"mm/dd/yyyy")</f>
        <v>09/03/2026</v>
      </c>
      <c r="C10" s="12">
        <f>TotalMinimums+ExtraPayment</f>
        <v>1208.0</v>
      </c>
      <c r="D10" s="12">
        <f>'Avalanche_Schedule'!AD10</f>
        <v>24659.78</v>
      </c>
      <c r="E10" s="12">
        <f>'Avalanche_Schedule'!AC10</f>
        <v>268.81</v>
      </c>
      <c r="F10" s="12">
        <f>SUM('Avalanche_Schedule'!AC5:AC10)</f>
        <v>1807.78</v>
      </c>
      <c r="G10" s="16">
        <f>SUMPRODUCT(--('Avalanche_Schedule'!G10&lt;=0),--('Avalanche_Schedule'!L10&lt;=0),--('Avalanche_Schedule'!Q10&lt;=0),--('Avalanche_Schedule'!V10&lt;=0),--('Avalanche_Schedule'!AA10&lt;=0))</f>
        <v>0</v>
      </c>
      <c r="H10" s="3" t="str">
        <f>IF('Avalanche_Schedule'!G10&gt;0,"Amex Card",IF('Avalanche_Schedule'!L10&gt;0,"Visa Card",IF('Avalanche_Schedule'!Q10&gt;0,"Personal Loan",IF('Avalanche_Schedule'!V10&gt;0,"Auto Loan",IF('Avalanche_Schedule'!AA10&gt;0,"Furniture Promo Card","Debt free")))))</f>
        <v>Amex Card</v>
      </c>
      <c r="I10" s="12">
        <f>D9-D10</f>
        <v>939.19</v>
      </c>
      <c r="J10" s="3" t="str">
        <f>IF(AND('Avalanche_Schedule'!G9&gt;0,'Avalanche_Schedule'!G10&lt;=0),"Amex Card closed",IF(AND('Avalanche_Schedule'!L9&gt;0,'Avalanche_Schedule'!L10&lt;=0),"Visa Card closed",IF(AND('Avalanche_Schedule'!Q9&gt;0,'Avalanche_Schedule'!Q10&lt;=0),"Personal Loan closed",IF(AND('Avalanche_Schedule'!V9&gt;0,'Avalanche_Schedule'!V10&lt;=0),"Auto Loan closed",IF(AND('Avalanche_Schedule'!AA9&gt;0,'Avalanche_Schedule'!AA10&lt;=0),"Furniture Promo Card closed","Review completed")))))</f>
        <v>Review completed</v>
      </c>
    </row>
    <row r="12" spans="1:10">
      <c r="A12" s="15" t="s">
        <v>74</v>
      </c>
      <c r="B12" s="15"/>
      <c r="C12" s="15"/>
      <c r="D12" s="15"/>
      <c r="E12" s="15"/>
      <c r="F12" s="15"/>
      <c r="G12" s="13" t="s">
        <v>43</v>
      </c>
      <c r="H12" s="3" t="str">
        <f>PrimaryEditor</f>
        <v>Household Lead</v>
      </c>
      <c r="I12" s="13" t="s">
        <v>45</v>
      </c>
      <c r="J12" s="3" t="str">
        <f>BackupEditor</f>
        <v>Budget Partner</v>
      </c>
    </row>
    <row r="13" spans="1:10">
      <c r="G13" s="13" t="s">
        <v>47</v>
      </c>
      <c r="H13" s="17" t="str">
        <f>ReviewDay</f>
        <v>Friday</v>
      </c>
      <c r="I13" s="13" t="s">
        <v>75</v>
      </c>
      <c r="J13" s="17" t="str">
        <f>TEXT(EDATE(LastReview,6),"mm/dd/yyyy")</f>
        <v>10/03/2026</v>
      </c>
    </row>
    <row r="14" spans="1:10">
      <c r="G14" s="13" t="s">
        <v>76</v>
      </c>
      <c r="H14" s="3" t="str">
        <f>H10</f>
        <v>Amex Card</v>
      </c>
      <c r="I14" s="13" t="s">
        <v>77</v>
      </c>
      <c r="J14" s="16">
        <f>G10</f>
        <v>0</v>
      </c>
    </row>
  </sheetData>
  <mergeCells count="4">
    <mergeCell ref="A1:J1"/>
    <mergeCell ref="A2:J2"/>
    <mergeCell ref="A3:J3"/>
    <mergeCell ref="A12:F12"/>
  </mergeCells>
  <pageMargins left="0.7" right="0.7" top="0.75" bottom="0.75" header="0.3" footer="0.3"/>
  <headerFooter>
    <oddFooter>&amp;LGoogle Sheets Monthly Check-In Log&amp;CDebtPayoffSpreadsheet.org&amp;Rv1.0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78</v>
      </c>
      <c r="B2" s="1"/>
    </row>
    <row r="4" spans="1:2">
      <c r="A4" s="2" t="s">
        <v>79</v>
      </c>
      <c r="B4" s="18" t="s">
        <v>80</v>
      </c>
    </row>
    <row r="5" spans="1:2">
      <c r="B5" s="18" t="s">
        <v>81</v>
      </c>
    </row>
    <row r="6" spans="1:2">
      <c r="B6" s="18" t="s">
        <v>82</v>
      </c>
    </row>
    <row r="8" spans="1:2">
      <c r="A8" s="2" t="s">
        <v>83</v>
      </c>
      <c r="B8" s="18" t="s">
        <v>84</v>
      </c>
    </row>
    <row r="9" spans="1:2">
      <c r="B9" s="18" t="s">
        <v>85</v>
      </c>
    </row>
    <row r="10" spans="1:2">
      <c r="B10" s="18" t="s">
        <v>86</v>
      </c>
    </row>
    <row r="12" spans="1:2">
      <c r="A12" s="2" t="s">
        <v>87</v>
      </c>
      <c r="B12" s="18" t="s">
        <v>88</v>
      </c>
    </row>
    <row r="13" spans="1:2">
      <c r="B13" s="18" t="s">
        <v>89</v>
      </c>
    </row>
    <row r="14" spans="1:2">
      <c r="B14" s="18" t="s">
        <v>90</v>
      </c>
    </row>
    <row r="17" spans="1:2">
      <c r="A17" s="2" t="s">
        <v>91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&amp;LGoogle Sheets Monthly Check-In Log&amp;CDebtPayoffSpreadsheet.org&amp;Rv1.0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Start_Here</vt:lpstr>
      <vt:lpstr>Inputs</vt:lpstr>
      <vt:lpstr>Avalanche_Schedule</vt:lpstr>
      <vt:lpstr>Check_In_Log</vt:lpstr>
      <vt:lpstr>Bonus_Tips</vt:lpstr>
      <vt:lpstr>AmexCardAPR</vt:lpstr>
      <vt:lpstr>AmexCardBalance</vt:lpstr>
      <vt:lpstr>AmexCardMinPayment</vt:lpstr>
      <vt:lpstr>AutoLoanAPR</vt:lpstr>
      <vt:lpstr>AutoLoanBalance</vt:lpstr>
      <vt:lpstr>AutoLoanMinPayment</vt:lpstr>
      <vt:lpstr>BackupEditor</vt:lpstr>
      <vt:lpstr>ExtraPayment</vt:lpstr>
      <vt:lpstr>FurnitureCardAPR</vt:lpstr>
      <vt:lpstr>FurnitureCardBalance</vt:lpstr>
      <vt:lpstr>FurnitureCardMinPayment</vt:lpstr>
      <vt:lpstr>LastReview</vt:lpstr>
      <vt:lpstr>PersonalLoanAPR</vt:lpstr>
      <vt:lpstr>PersonalLoanBalance</vt:lpstr>
      <vt:lpstr>PersonalLoanMinPayment</vt:lpstr>
      <vt:lpstr>PrimaryEditor</vt:lpstr>
      <vt:lpstr>ReviewDay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2026-03-07T13:21:15Z</dcterms:created>
  <dcterms:modified xsi:type="dcterms:W3CDTF">2026-03-07T13:21:15Z</dcterms:modified>
</cp:coreProperties>
</file>