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tart_Here" sheetId="1" r:id="rId1"/>
    <sheet name="Inputs" sheetId="2" r:id="rId2"/>
    <sheet name="Schedule" sheetId="3" r:id="rId3"/>
    <sheet name="Print_Overview" sheetId="4" r:id="rId4"/>
    <sheet name="Bonus_Tips" sheetId="5" r:id="rId5"/>
  </sheets>
  <definedNames>
    <definedName name="CreditUnionCardAPR">Inputs!$C$8</definedName>
    <definedName name="CreditUnionCardBalance">Inputs!$B$8</definedName>
    <definedName name="CreditUnionCardMinPayment">Inputs!$D$8</definedName>
    <definedName name="ExtraPayment">Inputs!$B$13</definedName>
    <definedName name="MedicalPlanAPR">Inputs!$C$5</definedName>
    <definedName name="MedicalPlanBalance">Inputs!$B$5</definedName>
    <definedName name="MedicalPlanMinPayment">Inputs!$D$5</definedName>
    <definedName name="PersonalLoanAPR">Inputs!$C$9</definedName>
    <definedName name="PersonalLoanBalance">Inputs!$B$9</definedName>
    <definedName name="PersonalLoanMinPayment">Inputs!$D$9</definedName>
    <definedName name="_xlnm.Print_Titles" localSheetId="3">Print_Overview!$1:$4</definedName>
    <definedName name="RewardsVisaAPR">Inputs!$C$7</definedName>
    <definedName name="RewardsVisaBalance">Inputs!$B$7</definedName>
    <definedName name="RewardsVisaMinPayment">Inputs!$D$7</definedName>
    <definedName name="StartDate">Inputs!$B$12</definedName>
    <definedName name="StoreCardAPR">Inputs!$C$6</definedName>
    <definedName name="StoreCardBalance">Inputs!$B$6</definedName>
    <definedName name="StoreCardMinPayment">Inputs!$D$6</definedName>
    <definedName name="TotalDebt">Inputs!$B$10</definedName>
    <definedName name="TotalMinimums">Inputs!$D$10</definedName>
  </definedNames>
  <calcPr calcId="124519" fullCalcOnLoad="1"/>
</workbook>
</file>

<file path=xl/sharedStrings.xml><?xml version="1.0" encoding="utf-8"?>
<sst xmlns="http://schemas.openxmlformats.org/spreadsheetml/2006/main" count="147" uniqueCount="106">
  <si>
    <t>Printable Payoff Overview</t>
  </si>
  <si>
    <t>Website</t>
  </si>
  <si>
    <t>Debt Payoff Spreadsheet</t>
  </si>
  <si>
    <t>Who It Helps</t>
  </si>
  <si>
    <t>Readers who already know the payment amount and debt order and want a packet they can print, post, and review without opening a laptop.</t>
  </si>
  <si>
    <t>About This Template</t>
  </si>
  <si>
    <t>This workbook turns one settled payoff plan into a one-page overview that prints cleanly in landscape mode.</t>
  </si>
  <si>
    <t>The summary keeps the debt-free month, next payoff, first-year checkpoint, and milestone dates on one screen.</t>
  </si>
  <si>
    <t>Use it after you trust the numbers. It is not the right file for choosing between snowball, avalanche, or a budget reset.</t>
  </si>
  <si>
    <t>How to Use</t>
  </si>
  <si>
    <t>1. Open the Inputs sheet first and make sure the balances, APRs, minimum payments, and due days match the scenario or your own latest statements.</t>
  </si>
  <si>
    <t>2. Use the Print_Overview sheet for the page you want to print or save as a PDF.</t>
  </si>
  <si>
    <t>3. Keep the Schedule sheet available only when you need to audit the month-by-month math behind the printed summary.</t>
  </si>
  <si>
    <t>4. Change only the yellow cells after you understand that the defaults match the article scenario exactly.</t>
  </si>
  <si>
    <t>Version</t>
  </si>
  <si>
    <t>v1.0 | Updated 2026-03-09</t>
  </si>
  <si>
    <t>Newsletter</t>
  </si>
  <si>
    <t>Get spreadsheet updates by email</t>
  </si>
  <si>
    <t>Homepage</t>
  </si>
  <si>
    <t>DebtPayoffSpreadsheet.org</t>
  </si>
  <si>
    <t>Disclaimer</t>
  </si>
  <si>
    <t>Results are estimates for informational and planning purposes only and do not constitute financial, legal, tax, or investment advice. Consult a qualified professional for personalized guidance.</t>
  </si>
  <si>
    <t>Printable Payoff Overview - DebtPayoffSpreadsheet.org</t>
  </si>
  <si>
    <t>Debt Inputs</t>
  </si>
  <si>
    <t>Debt Name</t>
  </si>
  <si>
    <t>Balance</t>
  </si>
  <si>
    <t>APR</t>
  </si>
  <si>
    <t>Min Payment</t>
  </si>
  <si>
    <t>Due Day</t>
  </si>
  <si>
    <t>Debt Type</t>
  </si>
  <si>
    <t>Scenario Note</t>
  </si>
  <si>
    <t>Medical Plan</t>
  </si>
  <si>
    <t>Payment plan</t>
  </si>
  <si>
    <t>Small zero-interest balance that gives the packet an early first payoff.</t>
  </si>
  <si>
    <t>Store Card</t>
  </si>
  <si>
    <t>Credit card</t>
  </si>
  <si>
    <t>High-rate balance that needs attention right after the medical plan disappears.</t>
  </si>
  <si>
    <t>Rewards Visa</t>
  </si>
  <si>
    <t>Largest expensive card, so it becomes the main target for most of year one.</t>
  </si>
  <si>
    <t>Credit Union Card</t>
  </si>
  <si>
    <t>Mid-rate revolving balance that falls faster once the Rewards Visa is gone.</t>
  </si>
  <si>
    <t>Personal Loan</t>
  </si>
  <si>
    <t>Installment loan</t>
  </si>
  <si>
    <t>Largest balance and the last debt standing after the cards are cleared.</t>
  </si>
  <si>
    <t>Total</t>
  </si>
  <si>
    <t>Start Month</t>
  </si>
  <si>
    <t>Extra Monthly Payment</t>
  </si>
  <si>
    <t>The printable packet assumes the debt order is already settled: Medical Plan, Store Card, Rewards Visa, Credit Union Card, then Personal Loan. If the order or the payment is still uncertain, solve that before you print the summary.</t>
  </si>
  <si>
    <t>Begin</t>
  </si>
  <si>
    <t>Interest</t>
  </si>
  <si>
    <t>Minimum</t>
  </si>
  <si>
    <t>Extra</t>
  </si>
  <si>
    <t>End</t>
  </si>
  <si>
    <t>Printable Order Schedule</t>
  </si>
  <si>
    <t>Timeline</t>
  </si>
  <si>
    <t>Month</t>
  </si>
  <si>
    <t>Period</t>
  </si>
  <si>
    <t>Extra Pool</t>
  </si>
  <si>
    <t>Interest Total</t>
  </si>
  <si>
    <t>Balance Total</t>
  </si>
  <si>
    <t>Print-Ready Payoff Snapshot</t>
  </si>
  <si>
    <t>Plan Setup</t>
  </si>
  <si>
    <t>Finish Line</t>
  </si>
  <si>
    <t>Year-One Checkpoint</t>
  </si>
  <si>
    <t>Starting Debt</t>
  </si>
  <si>
    <t>Minimums</t>
  </si>
  <si>
    <t>Extra Payment</t>
  </si>
  <si>
    <t>Monthly Outlay</t>
  </si>
  <si>
    <t>Debt-Free Month</t>
  </si>
  <si>
    <t>Months To Payoff</t>
  </si>
  <si>
    <t>Total Interest</t>
  </si>
  <si>
    <t>Total Paid</t>
  </si>
  <si>
    <t>Balance After 12 Months</t>
  </si>
  <si>
    <t>Interest In Year One</t>
  </si>
  <si>
    <t>Closed By Month 12</t>
  </si>
  <si>
    <t>Next Payoff</t>
  </si>
  <si>
    <t>Printable Debt List</t>
  </si>
  <si>
    <t>Order</t>
  </si>
  <si>
    <t>Debt</t>
  </si>
  <si>
    <t>Min</t>
  </si>
  <si>
    <t>Paid Off</t>
  </si>
  <si>
    <t>May 2026</t>
  </si>
  <si>
    <t>September 2026</t>
  </si>
  <si>
    <t>October 2027</t>
  </si>
  <si>
    <t>February 2028</t>
  </si>
  <si>
    <t>August 2028</t>
  </si>
  <si>
    <t>Milestone Dates</t>
  </si>
  <si>
    <t>Milestone</t>
  </si>
  <si>
    <t>Paid To Date</t>
  </si>
  <si>
    <t>Balance Left</t>
  </si>
  <si>
    <t>25% paid</t>
  </si>
  <si>
    <t>December 2026</t>
  </si>
  <si>
    <t>50% paid</t>
  </si>
  <si>
    <t>July 2027</t>
  </si>
  <si>
    <t>75% paid</t>
  </si>
  <si>
    <t>100% paid</t>
  </si>
  <si>
    <t>This page is the printable answer after the math is settled. It keeps the next payoff date, the debt-free month, and the quarter marks in one place so the plan stays visible between statement updates.</t>
  </si>
  <si>
    <t>Printable Payoff Overview Tips</t>
  </si>
  <si>
    <t>Use it well</t>
  </si>
  <si>
    <t>- Reprint the overview after any balance, APR, or extra-payment change that materially affects the payoff month.</t>
  </si>
  <si>
    <t>- Keep this page visible, but keep the full schedule nearby when you need to audit a surprising balance line.</t>
  </si>
  <si>
    <t>- If the extra payment stops being repeatable, fix the budget before trusting the printed payoff date.</t>
  </si>
  <si>
    <t>Edge cases</t>
  </si>
  <si>
    <t>- Promotional rates and statement-level interest calculations can change the real path faster than a static printout can show.</t>
  </si>
  <si>
    <t>- A printable tracker is strongest after the method is chosen, not while you are still comparing debt orders.</t>
  </si>
  <si>
    <t>Explore more tools:</t>
  </si>
</sst>
</file>

<file path=xl/styles.xml><?xml version="1.0" encoding="utf-8"?>
<styleSheet xmlns="http://schemas.openxmlformats.org/spreadsheetml/2006/main">
  <numFmts count="3">
    <numFmt numFmtId="164" formatCode="$#,##0.00"/>
    <numFmt numFmtId="165" formatCode="0.00%"/>
    <numFmt numFmtId="166" formatCode="mm/dd/yyyy"/>
  </numFmts>
  <fonts count="8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rgb="FF0563C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right" vertical="center"/>
    </xf>
    <xf numFmtId="165" fontId="0" fillId="4" borderId="1" xfId="0" applyNumberFormat="1" applyFill="1" applyBorder="1" applyAlignment="1">
      <alignment horizontal="right" vertical="center"/>
    </xf>
    <xf numFmtId="1" fontId="0" fillId="4" borderId="1" xfId="0" applyNumberForma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/>
    </xf>
    <xf numFmtId="166" fontId="0" fillId="4" borderId="1" xfId="0" applyNumberForma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top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Balance Over Time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Balance Total</c:v>
          </c:tx>
          <c:spPr>
            <a:ln w="28575">
              <a:solidFill>
                <a:srgbClr val="4472C4"/>
              </a:solidFill>
            </a:ln>
          </c:spPr>
          <c:marker>
            <c:symbol val="none"/>
          </c:marker>
          <c:cat>
            <c:strRef>
              <c:f>'Schedule'!B5:B33</c:f>
              <c:strCache>
                <c:ptCount val="29"/>
                <c:pt idx="0">
                  <c:v>Apr 2026</c:v>
                </c:pt>
                <c:pt idx="1">
                  <c:v>May 2026</c:v>
                </c:pt>
                <c:pt idx="2">
                  <c:v>Jun 2026</c:v>
                </c:pt>
                <c:pt idx="3">
                  <c:v>Jul 2026</c:v>
                </c:pt>
                <c:pt idx="4">
                  <c:v>Aug 2026</c:v>
                </c:pt>
                <c:pt idx="5">
                  <c:v>Sep 2026</c:v>
                </c:pt>
                <c:pt idx="6">
                  <c:v>Oct 2026</c:v>
                </c:pt>
                <c:pt idx="7">
                  <c:v>Nov 2026</c:v>
                </c:pt>
                <c:pt idx="8">
                  <c:v>Dec 2026</c:v>
                </c:pt>
                <c:pt idx="9">
                  <c:v>Jan 2027</c:v>
                </c:pt>
                <c:pt idx="10">
                  <c:v>Feb 2027</c:v>
                </c:pt>
                <c:pt idx="11">
                  <c:v>Mar 2027</c:v>
                </c:pt>
                <c:pt idx="12">
                  <c:v>Apr 2027</c:v>
                </c:pt>
                <c:pt idx="13">
                  <c:v>May 2027</c:v>
                </c:pt>
                <c:pt idx="14">
                  <c:v>Jun 2027</c:v>
                </c:pt>
                <c:pt idx="15">
                  <c:v>Jul 2027</c:v>
                </c:pt>
                <c:pt idx="16">
                  <c:v>Aug 2027</c:v>
                </c:pt>
                <c:pt idx="17">
                  <c:v>Sep 2027</c:v>
                </c:pt>
                <c:pt idx="18">
                  <c:v>Oct 2027</c:v>
                </c:pt>
                <c:pt idx="19">
                  <c:v>Nov 2027</c:v>
                </c:pt>
                <c:pt idx="20">
                  <c:v>Dec 2027</c:v>
                </c:pt>
                <c:pt idx="21">
                  <c:v>Jan 2028</c:v>
                </c:pt>
                <c:pt idx="22">
                  <c:v>Feb 2028</c:v>
                </c:pt>
                <c:pt idx="23">
                  <c:v>Mar 2028</c:v>
                </c:pt>
                <c:pt idx="24">
                  <c:v>Apr 2028</c:v>
                </c:pt>
                <c:pt idx="25">
                  <c:v>May 2028</c:v>
                </c:pt>
                <c:pt idx="26">
                  <c:v>Jun 2028</c:v>
                </c:pt>
                <c:pt idx="27">
                  <c:v>Jul 2028</c:v>
                </c:pt>
                <c:pt idx="28">
                  <c:v>Aug 2028</c:v>
                </c:pt>
              </c:strCache>
            </c:strRef>
          </c:cat>
          <c:val>
            <c:numRef>
              <c:f>'Schedule'!AD5:AD33</c:f>
              <c:numCache>
                <c:formatCode>General</c:formatCode>
                <c:ptCount val="29"/>
                <c:pt idx="0">
                  <c:v>18466.61</c:v>
                </c:pt>
                <c:pt idx="1">
                  <c:v>17929.92</c:v>
                </c:pt>
                <c:pt idx="2">
                  <c:v>17388.2</c:v>
                </c:pt>
                <c:pt idx="3">
                  <c:v>16836.19</c:v>
                </c:pt>
                <c:pt idx="4">
                  <c:v>16273.69</c:v>
                </c:pt>
                <c:pt idx="5">
                  <c:v>15700.45</c:v>
                </c:pt>
                <c:pt idx="6">
                  <c:v>15116.27</c:v>
                </c:pt>
                <c:pt idx="7">
                  <c:v>14522.32</c:v>
                </c:pt>
                <c:pt idx="8">
                  <c:v>13918.41</c:v>
                </c:pt>
                <c:pt idx="9">
                  <c:v>13304.37</c:v>
                </c:pt>
                <c:pt idx="10">
                  <c:v>12680.0</c:v>
                </c:pt>
                <c:pt idx="11">
                  <c:v>12045.13</c:v>
                </c:pt>
                <c:pt idx="12">
                  <c:v>11399.55</c:v>
                </c:pt>
                <c:pt idx="13">
                  <c:v>10743.07</c:v>
                </c:pt>
                <c:pt idx="14">
                  <c:v>10075.48</c:v>
                </c:pt>
                <c:pt idx="15">
                  <c:v>9396.6</c:v>
                </c:pt>
                <c:pt idx="16">
                  <c:v>8706.19</c:v>
                </c:pt>
                <c:pt idx="17">
                  <c:v>8004.07</c:v>
                </c:pt>
                <c:pt idx="18">
                  <c:v>7308.27</c:v>
                </c:pt>
                <c:pt idx="19">
                  <c:v>6584.11</c:v>
                </c:pt>
                <c:pt idx="20">
                  <c:v>5850.25</c:v>
                </c:pt>
                <c:pt idx="21">
                  <c:v>5106.55</c:v>
                </c:pt>
                <c:pt idx="22">
                  <c:v>4352.87</c:v>
                </c:pt>
                <c:pt idx="23">
                  <c:v>3590.05</c:v>
                </c:pt>
                <c:pt idx="24">
                  <c:v>2820.72</c:v>
                </c:pt>
                <c:pt idx="25">
                  <c:v>2044.81</c:v>
                </c:pt>
                <c:pt idx="26">
                  <c:v>1262.28</c:v>
                </c:pt>
                <c:pt idx="27">
                  <c:v>473.06</c:v>
                </c:pt>
                <c:pt idx="28">
                  <c:v>0.0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numFmt formatCode="$#,##0" sourceLinked="0"/>
        <c:tickLblPos val="nextTo"/>
        <c:crossAx val="5001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12</xdr:col>
      <xdr:colOff>1123950</xdr:colOff>
      <xdr:row>14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DebtPayoffSpreadsheet.org/newsletter?src=printable-payoff-overview.xlsx" TargetMode="External"/><Relationship Id="rId2" Type="http://schemas.openxmlformats.org/officeDocument/2006/relationships/hyperlink" Target="https://DebtPayoffSpreadsheet.org" TargetMode="Externa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hyperlink" Target="https://DebtPayoffSpreadsheet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9"/>
  <sheetViews>
    <sheetView tabSelected="1" workbookViewId="0"/>
  </sheetViews>
  <sheetFormatPr defaultRowHeight="15"/>
  <cols>
    <col min="1" max="1" width="22.7109375" customWidth="1"/>
    <col min="2" max="2" width="90.7109375" customWidth="1"/>
  </cols>
  <sheetData>
    <row r="2" spans="1:2" ht="28" customHeight="1">
      <c r="A2" s="1" t="s">
        <v>0</v>
      </c>
      <c r="B2" s="1"/>
    </row>
    <row r="3" spans="1:2">
      <c r="A3" s="2" t="s">
        <v>1</v>
      </c>
      <c r="B3" s="3" t="s">
        <v>2</v>
      </c>
    </row>
    <row r="4" spans="1:2">
      <c r="A4" s="2" t="s">
        <v>3</v>
      </c>
      <c r="B4" s="4" t="s">
        <v>4</v>
      </c>
    </row>
    <row r="6" spans="1:2">
      <c r="A6" s="2" t="s">
        <v>5</v>
      </c>
    </row>
    <row r="7" spans="1:2">
      <c r="B7" s="4" t="s">
        <v>6</v>
      </c>
    </row>
    <row r="8" spans="1:2">
      <c r="B8" s="4" t="s">
        <v>7</v>
      </c>
    </row>
    <row r="9" spans="1:2">
      <c r="B9" s="4" t="s">
        <v>8</v>
      </c>
    </row>
    <row r="10" spans="1:2">
      <c r="A10" s="2" t="s">
        <v>9</v>
      </c>
      <c r="B10" s="4" t="s">
        <v>10</v>
      </c>
    </row>
    <row r="11" spans="1:2">
      <c r="B11" s="4" t="s">
        <v>11</v>
      </c>
    </row>
    <row r="12" spans="1:2">
      <c r="B12" s="4" t="s">
        <v>12</v>
      </c>
    </row>
    <row r="13" spans="1:2">
      <c r="B13" s="4" t="s">
        <v>13</v>
      </c>
    </row>
    <row r="15" spans="1:2">
      <c r="A15" s="2" t="s">
        <v>14</v>
      </c>
      <c r="B15" s="3" t="s">
        <v>15</v>
      </c>
    </row>
    <row r="16" spans="1:2">
      <c r="A16" s="2" t="s">
        <v>16</v>
      </c>
      <c r="B16" s="5" t="s">
        <v>17</v>
      </c>
    </row>
    <row r="17" spans="1:2">
      <c r="A17" s="2" t="s">
        <v>18</v>
      </c>
      <c r="B17" s="5" t="s">
        <v>19</v>
      </c>
    </row>
    <row r="19" spans="1:2">
      <c r="A19" s="2" t="s">
        <v>20</v>
      </c>
      <c r="B19" s="4" t="s">
        <v>21</v>
      </c>
    </row>
  </sheetData>
  <sheetProtection sheet="1" objects="1" scenarios="1"/>
  <mergeCells count="1">
    <mergeCell ref="A2:B2"/>
  </mergeCells>
  <hyperlinks>
    <hyperlink ref="B16" r:id="rId1"/>
    <hyperlink ref="B17" r:id="rId2"/>
  </hyperlinks>
  <pageMargins left="0.7" right="0.7" top="0.75" bottom="0.75" header="0.3" footer="0.3"/>
  <headerFooter>
    <oddFooter>&amp;LPrintable Payoff Overview&amp;CDebtPayoffSpreadsheet.org&amp;Rv1.0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pane ySplit="4" topLeftCell="A5" activePane="bottomLeft" state="frozen"/>
      <selection pane="bottomLeft"/>
    </sheetView>
  </sheetViews>
  <sheetFormatPr defaultRowHeight="15"/>
  <cols>
    <col min="1" max="1" width="22.7109375" customWidth="1"/>
    <col min="2" max="2" width="14.7109375" customWidth="1"/>
    <col min="3" max="3" width="11.7109375" customWidth="1"/>
    <col min="4" max="4" width="13.7109375" customWidth="1"/>
    <col min="5" max="5" width="10.7109375" customWidth="1"/>
    <col min="6" max="6" width="14.7109375" customWidth="1"/>
    <col min="7" max="7" width="36.7109375" customWidth="1"/>
  </cols>
  <sheetData>
    <row r="1" spans="1:7" ht="16" customHeight="1">
      <c r="A1" s="6" t="s">
        <v>22</v>
      </c>
      <c r="B1" s="6"/>
      <c r="C1" s="6"/>
      <c r="D1" s="6"/>
      <c r="E1" s="6"/>
      <c r="F1" s="6"/>
      <c r="G1" s="6"/>
    </row>
    <row r="2" spans="1:7">
      <c r="A2" s="1" t="s">
        <v>23</v>
      </c>
      <c r="B2" s="1"/>
      <c r="C2" s="1"/>
      <c r="D2" s="1"/>
      <c r="E2" s="1"/>
      <c r="F2" s="1"/>
      <c r="G2" s="1"/>
    </row>
    <row r="4" spans="1:7">
      <c r="A4" s="7" t="s">
        <v>24</v>
      </c>
      <c r="B4" s="7" t="s">
        <v>25</v>
      </c>
      <c r="C4" s="7" t="s">
        <v>26</v>
      </c>
      <c r="D4" s="7" t="s">
        <v>27</v>
      </c>
      <c r="E4" s="7" t="s">
        <v>28</v>
      </c>
      <c r="F4" s="7" t="s">
        <v>29</v>
      </c>
      <c r="G4" s="7" t="s">
        <v>30</v>
      </c>
    </row>
    <row r="5" spans="1:7">
      <c r="A5" s="8" t="s">
        <v>31</v>
      </c>
      <c r="B5" s="9">
        <v>480</v>
      </c>
      <c r="C5" s="10">
        <v>0</v>
      </c>
      <c r="D5" s="9">
        <v>40</v>
      </c>
      <c r="E5" s="11">
        <v>3</v>
      </c>
      <c r="F5" s="3" t="s">
        <v>32</v>
      </c>
      <c r="G5" s="4" t="s">
        <v>33</v>
      </c>
    </row>
    <row r="6" spans="1:7">
      <c r="A6" s="8" t="s">
        <v>34</v>
      </c>
      <c r="B6" s="9">
        <v>1250</v>
      </c>
      <c r="C6" s="10">
        <v>0.2999</v>
      </c>
      <c r="D6" s="9">
        <v>38</v>
      </c>
      <c r="E6" s="11">
        <v>8</v>
      </c>
      <c r="F6" s="3" t="s">
        <v>35</v>
      </c>
      <c r="G6" s="4" t="s">
        <v>36</v>
      </c>
    </row>
    <row r="7" spans="1:7">
      <c r="A7" s="8" t="s">
        <v>37</v>
      </c>
      <c r="B7" s="9">
        <v>5470</v>
      </c>
      <c r="C7" s="10">
        <v>0.2449</v>
      </c>
      <c r="D7" s="9">
        <v>164</v>
      </c>
      <c r="E7" s="11">
        <v>14</v>
      </c>
      <c r="F7" s="3" t="s">
        <v>35</v>
      </c>
      <c r="G7" s="4" t="s">
        <v>38</v>
      </c>
    </row>
    <row r="8" spans="1:7">
      <c r="A8" s="8" t="s">
        <v>39</v>
      </c>
      <c r="B8" s="9">
        <v>3600</v>
      </c>
      <c r="C8" s="10">
        <v>0.179</v>
      </c>
      <c r="D8" s="9">
        <v>108</v>
      </c>
      <c r="E8" s="11">
        <v>19</v>
      </c>
      <c r="F8" s="3" t="s">
        <v>35</v>
      </c>
      <c r="G8" s="4" t="s">
        <v>40</v>
      </c>
    </row>
    <row r="9" spans="1:7">
      <c r="A9" s="8" t="s">
        <v>41</v>
      </c>
      <c r="B9" s="9">
        <v>8200</v>
      </c>
      <c r="C9" s="10">
        <v>0.1025</v>
      </c>
      <c r="D9" s="9">
        <v>216</v>
      </c>
      <c r="E9" s="11">
        <v>25</v>
      </c>
      <c r="F9" s="3" t="s">
        <v>42</v>
      </c>
      <c r="G9" s="4" t="s">
        <v>43</v>
      </c>
    </row>
    <row r="10" spans="1:7">
      <c r="A10" s="12" t="s">
        <v>44</v>
      </c>
      <c r="B10" s="13">
        <f>SUM(B5:B9)</f>
        <v>19000.0</v>
      </c>
      <c r="C10" s="12"/>
      <c r="D10" s="13">
        <f>SUM(D5:D9)</f>
        <v>566.0</v>
      </c>
      <c r="E10" s="12"/>
      <c r="F10" s="12"/>
      <c r="G10" s="12"/>
    </row>
    <row r="12" spans="1:7">
      <c r="A12" s="14" t="s">
        <v>45</v>
      </c>
      <c r="B12" s="15">
        <v>46113</v>
      </c>
      <c r="D12" s="16" t="s">
        <v>47</v>
      </c>
      <c r="E12" s="16"/>
      <c r="F12" s="16"/>
      <c r="G12" s="16"/>
    </row>
    <row r="13" spans="1:7">
      <c r="A13" s="14" t="s">
        <v>46</v>
      </c>
      <c r="B13" s="9">
        <v>234</v>
      </c>
      <c r="D13" s="16"/>
      <c r="E13" s="16"/>
      <c r="F13" s="16"/>
      <c r="G13" s="16"/>
    </row>
  </sheetData>
  <mergeCells count="3">
    <mergeCell ref="A1:G1"/>
    <mergeCell ref="A2:G2"/>
    <mergeCell ref="D12:G13"/>
  </mergeCells>
  <pageMargins left="0.7" right="0.7" top="0.75" bottom="0.75" header="0.3" footer="0.3"/>
  <headerFooter>
    <oddFooter>&amp;LPrintable Payoff Overview&amp;CDebtPayoffSpreadsheet.org&amp;Rv1.0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D33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/>
  <cols>
    <col min="1" max="1" width="10.7109375" customWidth="1"/>
    <col min="2" max="27" width="12.7109375" customWidth="1"/>
    <col min="28" max="30" width="14.7109375" customWidth="1"/>
  </cols>
  <sheetData>
    <row r="1" spans="1:30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1:30">
      <c r="A2" s="1" t="s">
        <v>53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>
      <c r="A3" s="12" t="s">
        <v>54</v>
      </c>
      <c r="B3" s="12"/>
      <c r="C3" s="12" t="s">
        <v>31</v>
      </c>
      <c r="D3" s="12"/>
      <c r="E3" s="12"/>
      <c r="F3" s="12"/>
      <c r="G3" s="12"/>
      <c r="H3" s="12" t="s">
        <v>34</v>
      </c>
      <c r="I3" s="12"/>
      <c r="J3" s="12"/>
      <c r="K3" s="12"/>
      <c r="L3" s="12"/>
      <c r="M3" s="12" t="s">
        <v>37</v>
      </c>
      <c r="N3" s="12"/>
      <c r="O3" s="12"/>
      <c r="P3" s="12"/>
      <c r="Q3" s="12"/>
      <c r="R3" s="12" t="s">
        <v>39</v>
      </c>
      <c r="S3" s="12"/>
      <c r="T3" s="12"/>
      <c r="U3" s="12"/>
      <c r="V3" s="12"/>
      <c r="W3" s="12" t="s">
        <v>41</v>
      </c>
      <c r="X3" s="12"/>
      <c r="Y3" s="12"/>
      <c r="Z3" s="12"/>
      <c r="AA3" s="12"/>
    </row>
    <row r="4" spans="1:30">
      <c r="A4" s="7" t="s">
        <v>55</v>
      </c>
      <c r="B4" s="7" t="s">
        <v>56</v>
      </c>
      <c r="C4" s="7" t="s">
        <v>48</v>
      </c>
      <c r="D4" s="7" t="s">
        <v>49</v>
      </c>
      <c r="E4" s="7" t="s">
        <v>50</v>
      </c>
      <c r="F4" s="7" t="s">
        <v>51</v>
      </c>
      <c r="G4" s="7" t="s">
        <v>52</v>
      </c>
      <c r="H4" s="7" t="s">
        <v>48</v>
      </c>
      <c r="I4" s="7" t="s">
        <v>49</v>
      </c>
      <c r="J4" s="7" t="s">
        <v>50</v>
      </c>
      <c r="K4" s="7" t="s">
        <v>51</v>
      </c>
      <c r="L4" s="7" t="s">
        <v>52</v>
      </c>
      <c r="M4" s="7" t="s">
        <v>48</v>
      </c>
      <c r="N4" s="7" t="s">
        <v>49</v>
      </c>
      <c r="O4" s="7" t="s">
        <v>50</v>
      </c>
      <c r="P4" s="7" t="s">
        <v>51</v>
      </c>
      <c r="Q4" s="7" t="s">
        <v>52</v>
      </c>
      <c r="R4" s="7" t="s">
        <v>48</v>
      </c>
      <c r="S4" s="7" t="s">
        <v>49</v>
      </c>
      <c r="T4" s="7" t="s">
        <v>50</v>
      </c>
      <c r="U4" s="7" t="s">
        <v>51</v>
      </c>
      <c r="V4" s="7" t="s">
        <v>52</v>
      </c>
      <c r="W4" s="7" t="s">
        <v>48</v>
      </c>
      <c r="X4" s="7" t="s">
        <v>49</v>
      </c>
      <c r="Y4" s="7" t="s">
        <v>50</v>
      </c>
      <c r="Z4" s="7" t="s">
        <v>51</v>
      </c>
      <c r="AA4" s="7" t="s">
        <v>52</v>
      </c>
      <c r="AB4" s="7" t="s">
        <v>57</v>
      </c>
      <c r="AC4" s="7" t="s">
        <v>58</v>
      </c>
      <c r="AD4" s="7" t="s">
        <v>59</v>
      </c>
    </row>
    <row r="5" spans="1:30">
      <c r="A5" s="17">
        <f>ROW()-3</f>
        <v>1</v>
      </c>
      <c r="B5" s="18" t="str">
        <f>TEXT(EDATE(StartDate,A5-1),"mmm yyyy")</f>
        <v>Apr 2026</v>
      </c>
      <c r="C5" s="13">
        <f>MedicalPlanBalance</f>
        <v>480.0</v>
      </c>
      <c r="D5" s="13">
        <f>ROUND(IF($C$5&lt;=0,0,$C$5*MedicalPlanAPR/12),2)</f>
        <v>0.0</v>
      </c>
      <c r="E5" s="13">
        <f>ROUND(IF($C$5&lt;=0,0,MIN(MedicalPlanMinPayment,$C$5+$D$5)),2)</f>
        <v>40.0</v>
      </c>
      <c r="F5" s="13">
        <f>ROUND(IF($C$5&lt;=0,0,MIN(MAX(0,$C$5+$D$5-$E$5),$AB$5)),2)</f>
        <v>234.0</v>
      </c>
      <c r="G5" s="13">
        <f>ROUND(MAX(0,$C$5+$D$5-$E$5-$F$5),2)</f>
        <v>206.0</v>
      </c>
      <c r="H5" s="13">
        <f>StoreCardBalance</f>
        <v>1250.0</v>
      </c>
      <c r="I5" s="13">
        <f>ROUND(IF($H$5&lt;=0,0,$H$5*StoreCardAPR/12),2)</f>
        <v>31.24</v>
      </c>
      <c r="J5" s="13">
        <f>ROUND(IF($H$5&lt;=0,0,MIN(StoreCardMinPayment,$H$5+$I$5)),2)</f>
        <v>38.0</v>
      </c>
      <c r="K5" s="13">
        <f>ROUND(IF($H$5&lt;=0,0,MIN(MAX(0,$H$5+$I$5-$J$5),MAX(0,$AB$5-$F$5))),2)</f>
        <v>0.0</v>
      </c>
      <c r="L5" s="13">
        <f>ROUND(MAX(0,$H$5+$I$5-$J$5-$K$5),2)</f>
        <v>1243.24</v>
      </c>
      <c r="M5" s="13">
        <f>RewardsVisaBalance</f>
        <v>5470.0</v>
      </c>
      <c r="N5" s="13">
        <f>ROUND(IF($M$5&lt;=0,0,$M$5*RewardsVisaAPR/12),2)</f>
        <v>111.63</v>
      </c>
      <c r="O5" s="13">
        <f>ROUND(IF($M$5&lt;=0,0,MIN(RewardsVisaMinPayment,$M$5+$N$5)),2)</f>
        <v>164.0</v>
      </c>
      <c r="P5" s="13">
        <f>ROUND(IF($M$5&lt;=0,0,MIN(MAX(0,$M$5+$N$5-$O$5),MAX(0,$AB$5-$F$5-$K$5))),2)</f>
        <v>0.0</v>
      </c>
      <c r="Q5" s="13">
        <f>ROUND(MAX(0,$M$5+$N$5-$O$5-$P$5),2)</f>
        <v>5417.63</v>
      </c>
      <c r="R5" s="13">
        <f>CreditUnionCardBalance</f>
        <v>3600.0</v>
      </c>
      <c r="S5" s="13">
        <f>ROUND(IF($R$5&lt;=0,0,$R$5*CreditUnionCardAPR/12),2)</f>
        <v>53.7</v>
      </c>
      <c r="T5" s="13">
        <f>ROUND(IF($R$5&lt;=0,0,MIN(CreditUnionCardMinPayment,$R$5+$S$5)),2)</f>
        <v>108.0</v>
      </c>
      <c r="U5" s="13">
        <f>ROUND(IF($R$5&lt;=0,0,MIN(MAX(0,$R$5+$S$5-$T$5),MAX(0,$AB$5-$F$5-$K$5-$P$5))),2)</f>
        <v>0.0</v>
      </c>
      <c r="V5" s="13">
        <f>ROUND(MAX(0,$R$5+$S$5-$T$5-$U$5),2)</f>
        <v>3545.7</v>
      </c>
      <c r="W5" s="13">
        <f>PersonalLoanBalance</f>
        <v>8200.0</v>
      </c>
      <c r="X5" s="13">
        <f>ROUND(IF($W$5&lt;=0,0,$W$5*PersonalLoanAPR/12),2)</f>
        <v>70.04</v>
      </c>
      <c r="Y5" s="13">
        <f>ROUND(IF($W$5&lt;=0,0,MIN(PersonalLoanMinPayment,$W$5+$X$5)),2)</f>
        <v>216.0</v>
      </c>
      <c r="Z5" s="13">
        <f>ROUND(IF($W$5&lt;=0,0,MIN(MAX(0,$W$5+$X$5-$Y$5),MAX(0,$AB$5-$F$5-$K$5-$P$5-$U$5))),2)</f>
        <v>0.0</v>
      </c>
      <c r="AA5" s="13">
        <f>ROUND(MAX(0,$W$5+$X$5-$Y$5-$Z$5),2)</f>
        <v>8054.04</v>
      </c>
      <c r="AB5" s="13">
        <f>ROUND(ExtraPayment,2)</f>
        <v>234.0</v>
      </c>
      <c r="AC5" s="13">
        <f>ROUND(SUM($D$5,$I$5,$N$5,$S$5,$X$5),2)</f>
        <v>266.61</v>
      </c>
      <c r="AD5" s="13">
        <f>ROUND(SUM($G$5,$L$5,$Q$5,$V$5,$AA$5),2)</f>
        <v>18466.61</v>
      </c>
    </row>
    <row r="6" spans="1:30">
      <c r="A6" s="17">
        <f>ROW()-3</f>
        <v>2</v>
      </c>
      <c r="B6" s="18" t="str">
        <f>TEXT(EDATE(StartDate,A6-1),"mmm yyyy")</f>
        <v>May 2026</v>
      </c>
      <c r="C6" s="13">
        <f>$G$5</f>
        <v>206.0</v>
      </c>
      <c r="D6" s="13">
        <f>ROUND(IF($C$6&lt;=0,0,$C$6*MedicalPlanAPR/12),2)</f>
        <v>0.0</v>
      </c>
      <c r="E6" s="13">
        <f>ROUND(IF($C$6&lt;=0,0,MIN(MedicalPlanMinPayment,$C$6+$D$6)),2)</f>
        <v>40.0</v>
      </c>
      <c r="F6" s="13">
        <f>ROUND(IF($C$6&lt;=0,0,MIN(MAX(0,$C$6+$D$6-$E$6),$AB$6)),2)</f>
        <v>166.0</v>
      </c>
      <c r="G6" s="13">
        <f>ROUND(MAX(0,$C$6+$D$6-$E$6-$F$6),2)</f>
        <v>0.0</v>
      </c>
      <c r="H6" s="13">
        <f>$L$5</f>
        <v>1243.24</v>
      </c>
      <c r="I6" s="13">
        <f>ROUND(IF($H$6&lt;=0,0,$H$6*StoreCardAPR/12),2)</f>
        <v>31.07</v>
      </c>
      <c r="J6" s="13">
        <f>ROUND(IF($H$6&lt;=0,0,MIN(StoreCardMinPayment,$H$6+$I$6)),2)</f>
        <v>38.0</v>
      </c>
      <c r="K6" s="13">
        <f>ROUND(IF($H$6&lt;=0,0,MIN(MAX(0,$H$6+$I$6-$J$6),MAX(0,$AB$6-$F$6))),2)</f>
        <v>68.0</v>
      </c>
      <c r="L6" s="13">
        <f>ROUND(MAX(0,$H$6+$I$6-$J$6-$K$6),2)</f>
        <v>1168.31</v>
      </c>
      <c r="M6" s="13">
        <f>$Q$5</f>
        <v>5417.63</v>
      </c>
      <c r="N6" s="13">
        <f>ROUND(IF($M$6&lt;=0,0,$M$6*RewardsVisaAPR/12),2)</f>
        <v>110.56</v>
      </c>
      <c r="O6" s="13">
        <f>ROUND(IF($M$6&lt;=0,0,MIN(RewardsVisaMinPayment,$M$6+$N$6)),2)</f>
        <v>164.0</v>
      </c>
      <c r="P6" s="13">
        <f>ROUND(IF($M$6&lt;=0,0,MIN(MAX(0,$M$6+$N$6-$O$6),MAX(0,$AB$6-$F$6-$K$6))),2)</f>
        <v>0.0</v>
      </c>
      <c r="Q6" s="13">
        <f>ROUND(MAX(0,$M$6+$N$6-$O$6-$P$6),2)</f>
        <v>5364.19</v>
      </c>
      <c r="R6" s="13">
        <f>$V$5</f>
        <v>3545.7</v>
      </c>
      <c r="S6" s="13">
        <f>ROUND(IF($R$6&lt;=0,0,$R$6*CreditUnionCardAPR/12),2)</f>
        <v>52.89</v>
      </c>
      <c r="T6" s="13">
        <f>ROUND(IF($R$6&lt;=0,0,MIN(CreditUnionCardMinPayment,$R$6+$S$6)),2)</f>
        <v>108.0</v>
      </c>
      <c r="U6" s="13">
        <f>ROUND(IF($R$6&lt;=0,0,MIN(MAX(0,$R$6+$S$6-$T$6),MAX(0,$AB$6-$F$6-$K$6-$P$6))),2)</f>
        <v>0.0</v>
      </c>
      <c r="V6" s="13">
        <f>ROUND(MAX(0,$R$6+$S$6-$T$6-$U$6),2)</f>
        <v>3490.59</v>
      </c>
      <c r="W6" s="13">
        <f>$AA$5</f>
        <v>8054.04</v>
      </c>
      <c r="X6" s="13">
        <f>ROUND(IF($W$6&lt;=0,0,$W$6*PersonalLoanAPR/12),2)</f>
        <v>68.79</v>
      </c>
      <c r="Y6" s="13">
        <f>ROUND(IF($W$6&lt;=0,0,MIN(PersonalLoanMinPayment,$W$6+$X$6)),2)</f>
        <v>216.0</v>
      </c>
      <c r="Z6" s="13">
        <f>ROUND(IF($W$6&lt;=0,0,MIN(MAX(0,$W$6+$X$6-$Y$6),MAX(0,$AB$6-$F$6-$K$6-$P$6-$U$6))),2)</f>
        <v>0.0</v>
      </c>
      <c r="AA6" s="13">
        <f>ROUND(MAX(0,$W$6+$X$6-$Y$6-$Z$6),2)</f>
        <v>7906.83</v>
      </c>
      <c r="AB6" s="13">
        <f>ROUND(ExtraPayment+IF($G$5&lt;=0,MedicalPlanMinPayment,0)+IF($L$5&lt;=0,StoreCardMinPayment,0)+IF($Q$5&lt;=0,RewardsVisaMinPayment,0)+IF($V$5&lt;=0,CreditUnionCardMinPayment,0)+IF($AA$5&lt;=0,PersonalLoanMinPayment,0),2)</f>
        <v>234.0</v>
      </c>
      <c r="AC6" s="13">
        <f>ROUND(SUM($D$6,$I$6,$N$6,$S$6,$X$6),2)</f>
        <v>263.31</v>
      </c>
      <c r="AD6" s="13">
        <f>ROUND(SUM($G$6,$L$6,$Q$6,$V$6,$AA$6),2)</f>
        <v>17929.92</v>
      </c>
    </row>
    <row r="7" spans="1:30">
      <c r="A7" s="17">
        <f>ROW()-3</f>
        <v>3</v>
      </c>
      <c r="B7" s="18" t="str">
        <f>TEXT(EDATE(StartDate,A7-1),"mmm yyyy")</f>
        <v>Jun 2026</v>
      </c>
      <c r="C7" s="13">
        <f>$G$6</f>
        <v>0.0</v>
      </c>
      <c r="D7" s="13">
        <f>ROUND(IF($C$7&lt;=0,0,$C$7*MedicalPlanAPR/12),2)</f>
        <v>0.0</v>
      </c>
      <c r="E7" s="13">
        <f>ROUND(IF($C$7&lt;=0,0,MIN(MedicalPlanMinPayment,$C$7+$D$7)),2)</f>
        <v>0.0</v>
      </c>
      <c r="F7" s="13">
        <f>ROUND(IF($C$7&lt;=0,0,MIN(MAX(0,$C$7+$D$7-$E$7),$AB$7)),2)</f>
        <v>0.0</v>
      </c>
      <c r="G7" s="13">
        <f>ROUND(MAX(0,$C$7+$D$7-$E$7-$F$7),2)</f>
        <v>0.0</v>
      </c>
      <c r="H7" s="13">
        <f>$L$6</f>
        <v>1168.31</v>
      </c>
      <c r="I7" s="13">
        <f>ROUND(IF($H$7&lt;=0,0,$H$7*StoreCardAPR/12),2)</f>
        <v>29.2</v>
      </c>
      <c r="J7" s="13">
        <f>ROUND(IF($H$7&lt;=0,0,MIN(StoreCardMinPayment,$H$7+$I$7)),2)</f>
        <v>38.0</v>
      </c>
      <c r="K7" s="13">
        <f>ROUND(IF($H$7&lt;=0,0,MIN(MAX(0,$H$7+$I$7-$J$7),MAX(0,$AB$7-$F$7))),2)</f>
        <v>274.0</v>
      </c>
      <c r="L7" s="13">
        <f>ROUND(MAX(0,$H$7+$I$7-$J$7-$K$7),2)</f>
        <v>885.51</v>
      </c>
      <c r="M7" s="13">
        <f>$Q$6</f>
        <v>5364.19</v>
      </c>
      <c r="N7" s="13">
        <f>ROUND(IF($M$7&lt;=0,0,$M$7*RewardsVisaAPR/12),2)</f>
        <v>109.47</v>
      </c>
      <c r="O7" s="13">
        <f>ROUND(IF($M$7&lt;=0,0,MIN(RewardsVisaMinPayment,$M$7+$N$7)),2)</f>
        <v>164.0</v>
      </c>
      <c r="P7" s="13">
        <f>ROUND(IF($M$7&lt;=0,0,MIN(MAX(0,$M$7+$N$7-$O$7),MAX(0,$AB$7-$F$7-$K$7))),2)</f>
        <v>0.0</v>
      </c>
      <c r="Q7" s="13">
        <f>ROUND(MAX(0,$M$7+$N$7-$O$7-$P$7),2)</f>
        <v>5309.66</v>
      </c>
      <c r="R7" s="13">
        <f>$V$6</f>
        <v>3490.59</v>
      </c>
      <c r="S7" s="13">
        <f>ROUND(IF($R$7&lt;=0,0,$R$7*CreditUnionCardAPR/12),2)</f>
        <v>52.07</v>
      </c>
      <c r="T7" s="13">
        <f>ROUND(IF($R$7&lt;=0,0,MIN(CreditUnionCardMinPayment,$R$7+$S$7)),2)</f>
        <v>108.0</v>
      </c>
      <c r="U7" s="13">
        <f>ROUND(IF($R$7&lt;=0,0,MIN(MAX(0,$R$7+$S$7-$T$7),MAX(0,$AB$7-$F$7-$K$7-$P$7))),2)</f>
        <v>0.0</v>
      </c>
      <c r="V7" s="13">
        <f>ROUND(MAX(0,$R$7+$S$7-$T$7-$U$7),2)</f>
        <v>3434.66</v>
      </c>
      <c r="W7" s="13">
        <f>$AA$6</f>
        <v>7906.83</v>
      </c>
      <c r="X7" s="13">
        <f>ROUND(IF($W$7&lt;=0,0,$W$7*PersonalLoanAPR/12),2)</f>
        <v>67.54</v>
      </c>
      <c r="Y7" s="13">
        <f>ROUND(IF($W$7&lt;=0,0,MIN(PersonalLoanMinPayment,$W$7+$X$7)),2)</f>
        <v>216.0</v>
      </c>
      <c r="Z7" s="13">
        <f>ROUND(IF($W$7&lt;=0,0,MIN(MAX(0,$W$7+$X$7-$Y$7),MAX(0,$AB$7-$F$7-$K$7-$P$7-$U$7))),2)</f>
        <v>0.0</v>
      </c>
      <c r="AA7" s="13">
        <f>ROUND(MAX(0,$W$7+$X$7-$Y$7-$Z$7),2)</f>
        <v>7758.37</v>
      </c>
      <c r="AB7" s="13">
        <f>ROUND(ExtraPayment+IF($G$6&lt;=0,MedicalPlanMinPayment,0)+IF($L$6&lt;=0,StoreCardMinPayment,0)+IF($Q$6&lt;=0,RewardsVisaMinPayment,0)+IF($V$6&lt;=0,CreditUnionCardMinPayment,0)+IF($AA$6&lt;=0,PersonalLoanMinPayment,0),2)</f>
        <v>274.0</v>
      </c>
      <c r="AC7" s="13">
        <f>ROUND(SUM($D$7,$I$7,$N$7,$S$7,$X$7),2)</f>
        <v>258.28</v>
      </c>
      <c r="AD7" s="13">
        <f>ROUND(SUM($G$7,$L$7,$Q$7,$V$7,$AA$7),2)</f>
        <v>17388.2</v>
      </c>
    </row>
    <row r="8" spans="1:30">
      <c r="A8" s="17">
        <f>ROW()-3</f>
        <v>4</v>
      </c>
      <c r="B8" s="18" t="str">
        <f>TEXT(EDATE(StartDate,A8-1),"mmm yyyy")</f>
        <v>Jul 2026</v>
      </c>
      <c r="C8" s="13">
        <f>$G$7</f>
        <v>0.0</v>
      </c>
      <c r="D8" s="13">
        <f>ROUND(IF($C$8&lt;=0,0,$C$8*MedicalPlanAPR/12),2)</f>
        <v>0.0</v>
      </c>
      <c r="E8" s="13">
        <f>ROUND(IF($C$8&lt;=0,0,MIN(MedicalPlanMinPayment,$C$8+$D$8)),2)</f>
        <v>0.0</v>
      </c>
      <c r="F8" s="13">
        <f>ROUND(IF($C$8&lt;=0,0,MIN(MAX(0,$C$8+$D$8-$E$8),$AB$8)),2)</f>
        <v>0.0</v>
      </c>
      <c r="G8" s="13">
        <f>ROUND(MAX(0,$C$8+$D$8-$E$8-$F$8),2)</f>
        <v>0.0</v>
      </c>
      <c r="H8" s="13">
        <f>$L$7</f>
        <v>885.51</v>
      </c>
      <c r="I8" s="13">
        <f>ROUND(IF($H$8&lt;=0,0,$H$8*StoreCardAPR/12),2)</f>
        <v>22.13</v>
      </c>
      <c r="J8" s="13">
        <f>ROUND(IF($H$8&lt;=0,0,MIN(StoreCardMinPayment,$H$8+$I$8)),2)</f>
        <v>38.0</v>
      </c>
      <c r="K8" s="13">
        <f>ROUND(IF($H$8&lt;=0,0,MIN(MAX(0,$H$8+$I$8-$J$8),MAX(0,$AB$8-$F$8))),2)</f>
        <v>274.0</v>
      </c>
      <c r="L8" s="13">
        <f>ROUND(MAX(0,$H$8+$I$8-$J$8-$K$8),2)</f>
        <v>595.64</v>
      </c>
      <c r="M8" s="13">
        <f>$Q$7</f>
        <v>5309.66</v>
      </c>
      <c r="N8" s="13">
        <f>ROUND(IF($M$8&lt;=0,0,$M$8*RewardsVisaAPR/12),2)</f>
        <v>108.36</v>
      </c>
      <c r="O8" s="13">
        <f>ROUND(IF($M$8&lt;=0,0,MIN(RewardsVisaMinPayment,$M$8+$N$8)),2)</f>
        <v>164.0</v>
      </c>
      <c r="P8" s="13">
        <f>ROUND(IF($M$8&lt;=0,0,MIN(MAX(0,$M$8+$N$8-$O$8),MAX(0,$AB$8-$F$8-$K$8))),2)</f>
        <v>0.0</v>
      </c>
      <c r="Q8" s="13">
        <f>ROUND(MAX(0,$M$8+$N$8-$O$8-$P$8),2)</f>
        <v>5254.02</v>
      </c>
      <c r="R8" s="13">
        <f>$V$7</f>
        <v>3434.66</v>
      </c>
      <c r="S8" s="13">
        <f>ROUND(IF($R$8&lt;=0,0,$R$8*CreditUnionCardAPR/12),2)</f>
        <v>51.23</v>
      </c>
      <c r="T8" s="13">
        <f>ROUND(IF($R$8&lt;=0,0,MIN(CreditUnionCardMinPayment,$R$8+$S$8)),2)</f>
        <v>108.0</v>
      </c>
      <c r="U8" s="13">
        <f>ROUND(IF($R$8&lt;=0,0,MIN(MAX(0,$R$8+$S$8-$T$8),MAX(0,$AB$8-$F$8-$K$8-$P$8))),2)</f>
        <v>0.0</v>
      </c>
      <c r="V8" s="13">
        <f>ROUND(MAX(0,$R$8+$S$8-$T$8-$U$8),2)</f>
        <v>3377.89</v>
      </c>
      <c r="W8" s="13">
        <f>$AA$7</f>
        <v>7758.37</v>
      </c>
      <c r="X8" s="13">
        <f>ROUND(IF($W$8&lt;=0,0,$W$8*PersonalLoanAPR/12),2)</f>
        <v>66.27</v>
      </c>
      <c r="Y8" s="13">
        <f>ROUND(IF($W$8&lt;=0,0,MIN(PersonalLoanMinPayment,$W$8+$X$8)),2)</f>
        <v>216.0</v>
      </c>
      <c r="Z8" s="13">
        <f>ROUND(IF($W$8&lt;=0,0,MIN(MAX(0,$W$8+$X$8-$Y$8),MAX(0,$AB$8-$F$8-$K$8-$P$8-$U$8))),2)</f>
        <v>0.0</v>
      </c>
      <c r="AA8" s="13">
        <f>ROUND(MAX(0,$W$8+$X$8-$Y$8-$Z$8),2)</f>
        <v>7608.64</v>
      </c>
      <c r="AB8" s="13">
        <f>ROUND(ExtraPayment+IF($G$7&lt;=0,MedicalPlanMinPayment,0)+IF($L$7&lt;=0,StoreCardMinPayment,0)+IF($Q$7&lt;=0,RewardsVisaMinPayment,0)+IF($V$7&lt;=0,CreditUnionCardMinPayment,0)+IF($AA$7&lt;=0,PersonalLoanMinPayment,0),2)</f>
        <v>274.0</v>
      </c>
      <c r="AC8" s="13">
        <f>ROUND(SUM($D$8,$I$8,$N$8,$S$8,$X$8),2)</f>
        <v>247.99</v>
      </c>
      <c r="AD8" s="13">
        <f>ROUND(SUM($G$8,$L$8,$Q$8,$V$8,$AA$8),2)</f>
        <v>16836.19</v>
      </c>
    </row>
    <row r="9" spans="1:30">
      <c r="A9" s="17">
        <f>ROW()-3</f>
        <v>5</v>
      </c>
      <c r="B9" s="18" t="str">
        <f>TEXT(EDATE(StartDate,A9-1),"mmm yyyy")</f>
        <v>Aug 2026</v>
      </c>
      <c r="C9" s="13">
        <f>$G$8</f>
        <v>0.0</v>
      </c>
      <c r="D9" s="13">
        <f>ROUND(IF($C$9&lt;=0,0,$C$9*MedicalPlanAPR/12),2)</f>
        <v>0.0</v>
      </c>
      <c r="E9" s="13">
        <f>ROUND(IF($C$9&lt;=0,0,MIN(MedicalPlanMinPayment,$C$9+$D$9)),2)</f>
        <v>0.0</v>
      </c>
      <c r="F9" s="13">
        <f>ROUND(IF($C$9&lt;=0,0,MIN(MAX(0,$C$9+$D$9-$E$9),$AB$9)),2)</f>
        <v>0.0</v>
      </c>
      <c r="G9" s="13">
        <f>ROUND(MAX(0,$C$9+$D$9-$E$9-$F$9),2)</f>
        <v>0.0</v>
      </c>
      <c r="H9" s="13">
        <f>$L$8</f>
        <v>595.64</v>
      </c>
      <c r="I9" s="13">
        <f>ROUND(IF($H$9&lt;=0,0,$H$9*StoreCardAPR/12),2)</f>
        <v>14.89</v>
      </c>
      <c r="J9" s="13">
        <f>ROUND(IF($H$9&lt;=0,0,MIN(StoreCardMinPayment,$H$9+$I$9)),2)</f>
        <v>38.0</v>
      </c>
      <c r="K9" s="13">
        <f>ROUND(IF($H$9&lt;=0,0,MIN(MAX(0,$H$9+$I$9-$J$9),MAX(0,$AB$9-$F$9))),2)</f>
        <v>274.0</v>
      </c>
      <c r="L9" s="13">
        <f>ROUND(MAX(0,$H$9+$I$9-$J$9-$K$9),2)</f>
        <v>298.53</v>
      </c>
      <c r="M9" s="13">
        <f>$Q$8</f>
        <v>5254.02</v>
      </c>
      <c r="N9" s="13">
        <f>ROUND(IF($M$9&lt;=0,0,$M$9*RewardsVisaAPR/12),2)</f>
        <v>107.23</v>
      </c>
      <c r="O9" s="13">
        <f>ROUND(IF($M$9&lt;=0,0,MIN(RewardsVisaMinPayment,$M$9+$N$9)),2)</f>
        <v>164.0</v>
      </c>
      <c r="P9" s="13">
        <f>ROUND(IF($M$9&lt;=0,0,MIN(MAX(0,$M$9+$N$9-$O$9),MAX(0,$AB$9-$F$9-$K$9))),2)</f>
        <v>0.0</v>
      </c>
      <c r="Q9" s="13">
        <f>ROUND(MAX(0,$M$9+$N$9-$O$9-$P$9),2)</f>
        <v>5197.25</v>
      </c>
      <c r="R9" s="13">
        <f>$V$8</f>
        <v>3377.89</v>
      </c>
      <c r="S9" s="13">
        <f>ROUND(IF($R$9&lt;=0,0,$R$9*CreditUnionCardAPR/12),2)</f>
        <v>50.39</v>
      </c>
      <c r="T9" s="13">
        <f>ROUND(IF($R$9&lt;=0,0,MIN(CreditUnionCardMinPayment,$R$9+$S$9)),2)</f>
        <v>108.0</v>
      </c>
      <c r="U9" s="13">
        <f>ROUND(IF($R$9&lt;=0,0,MIN(MAX(0,$R$9+$S$9-$T$9),MAX(0,$AB$9-$F$9-$K$9-$P$9))),2)</f>
        <v>0.0</v>
      </c>
      <c r="V9" s="13">
        <f>ROUND(MAX(0,$R$9+$S$9-$T$9-$U$9),2)</f>
        <v>3320.28</v>
      </c>
      <c r="W9" s="13">
        <f>$AA$8</f>
        <v>7608.64</v>
      </c>
      <c r="X9" s="13">
        <f>ROUND(IF($W$9&lt;=0,0,$W$9*PersonalLoanAPR/12),2)</f>
        <v>64.99</v>
      </c>
      <c r="Y9" s="13">
        <f>ROUND(IF($W$9&lt;=0,0,MIN(PersonalLoanMinPayment,$W$9+$X$9)),2)</f>
        <v>216.0</v>
      </c>
      <c r="Z9" s="13">
        <f>ROUND(IF($W$9&lt;=0,0,MIN(MAX(0,$W$9+$X$9-$Y$9),MAX(0,$AB$9-$F$9-$K$9-$P$9-$U$9))),2)</f>
        <v>0.0</v>
      </c>
      <c r="AA9" s="13">
        <f>ROUND(MAX(0,$W$9+$X$9-$Y$9-$Z$9),2)</f>
        <v>7457.63</v>
      </c>
      <c r="AB9" s="13">
        <f>ROUND(ExtraPayment+IF($G$8&lt;=0,MedicalPlanMinPayment,0)+IF($L$8&lt;=0,StoreCardMinPayment,0)+IF($Q$8&lt;=0,RewardsVisaMinPayment,0)+IF($V$8&lt;=0,CreditUnionCardMinPayment,0)+IF($AA$8&lt;=0,PersonalLoanMinPayment,0),2)</f>
        <v>274.0</v>
      </c>
      <c r="AC9" s="13">
        <f>ROUND(SUM($D$9,$I$9,$N$9,$S$9,$X$9),2)</f>
        <v>237.5</v>
      </c>
      <c r="AD9" s="13">
        <f>ROUND(SUM($G$9,$L$9,$Q$9,$V$9,$AA$9),2)</f>
        <v>16273.69</v>
      </c>
    </row>
    <row r="10" spans="1:30">
      <c r="A10" s="17">
        <f>ROW()-3</f>
        <v>6</v>
      </c>
      <c r="B10" s="18" t="str">
        <f>TEXT(EDATE(StartDate,A10-1),"mmm yyyy")</f>
        <v>Sep 2026</v>
      </c>
      <c r="C10" s="13">
        <f>$G$9</f>
        <v>0.0</v>
      </c>
      <c r="D10" s="13">
        <f>ROUND(IF($C$10&lt;=0,0,$C$10*MedicalPlanAPR/12),2)</f>
        <v>0.0</v>
      </c>
      <c r="E10" s="13">
        <f>ROUND(IF($C$10&lt;=0,0,MIN(MedicalPlanMinPayment,$C$10+$D$10)),2)</f>
        <v>0.0</v>
      </c>
      <c r="F10" s="13">
        <f>ROUND(IF($C$10&lt;=0,0,MIN(MAX(0,$C$10+$D$10-$E$10),$AB$10)),2)</f>
        <v>0.0</v>
      </c>
      <c r="G10" s="13">
        <f>ROUND(MAX(0,$C$10+$D$10-$E$10-$F$10),2)</f>
        <v>0.0</v>
      </c>
      <c r="H10" s="13">
        <f>$L$9</f>
        <v>298.53</v>
      </c>
      <c r="I10" s="13">
        <f>ROUND(IF($H$10&lt;=0,0,$H$10*StoreCardAPR/12),2)</f>
        <v>7.46</v>
      </c>
      <c r="J10" s="13">
        <f>ROUND(IF($H$10&lt;=0,0,MIN(StoreCardMinPayment,$H$10+$I$10)),2)</f>
        <v>38.0</v>
      </c>
      <c r="K10" s="13">
        <f>ROUND(IF($H$10&lt;=0,0,MIN(MAX(0,$H$10+$I$10-$J$10),MAX(0,$AB$10-$F$10))),2)</f>
        <v>267.99</v>
      </c>
      <c r="L10" s="13">
        <f>ROUND(MAX(0,$H$10+$I$10-$J$10-$K$10),2)</f>
        <v>0.0</v>
      </c>
      <c r="M10" s="13">
        <f>$Q$9</f>
        <v>5197.25</v>
      </c>
      <c r="N10" s="13">
        <f>ROUND(IF($M$10&lt;=0,0,$M$10*RewardsVisaAPR/12),2)</f>
        <v>106.07</v>
      </c>
      <c r="O10" s="13">
        <f>ROUND(IF($M$10&lt;=0,0,MIN(RewardsVisaMinPayment,$M$10+$N$10)),2)</f>
        <v>164.0</v>
      </c>
      <c r="P10" s="13">
        <f>ROUND(IF($M$10&lt;=0,0,MIN(MAX(0,$M$10+$N$10-$O$10),MAX(0,$AB$10-$F$10-$K$10))),2)</f>
        <v>6.01</v>
      </c>
      <c r="Q10" s="13">
        <f>ROUND(MAX(0,$M$10+$N$10-$O$10-$P$10),2)</f>
        <v>5133.31</v>
      </c>
      <c r="R10" s="13">
        <f>$V$9</f>
        <v>3320.28</v>
      </c>
      <c r="S10" s="13">
        <f>ROUND(IF($R$10&lt;=0,0,$R$10*CreditUnionCardAPR/12),2)</f>
        <v>49.53</v>
      </c>
      <c r="T10" s="13">
        <f>ROUND(IF($R$10&lt;=0,0,MIN(CreditUnionCardMinPayment,$R$10+$S$10)),2)</f>
        <v>108.0</v>
      </c>
      <c r="U10" s="13">
        <f>ROUND(IF($R$10&lt;=0,0,MIN(MAX(0,$R$10+$S$10-$T$10),MAX(0,$AB$10-$F$10-$K$10-$P$10))),2)</f>
        <v>0.0</v>
      </c>
      <c r="V10" s="13">
        <f>ROUND(MAX(0,$R$10+$S$10-$T$10-$U$10),2)</f>
        <v>3261.81</v>
      </c>
      <c r="W10" s="13">
        <f>$AA$9</f>
        <v>7457.63</v>
      </c>
      <c r="X10" s="13">
        <f>ROUND(IF($W$10&lt;=0,0,$W$10*PersonalLoanAPR/12),2)</f>
        <v>63.7</v>
      </c>
      <c r="Y10" s="13">
        <f>ROUND(IF($W$10&lt;=0,0,MIN(PersonalLoanMinPayment,$W$10+$X$10)),2)</f>
        <v>216.0</v>
      </c>
      <c r="Z10" s="13">
        <f>ROUND(IF($W$10&lt;=0,0,MIN(MAX(0,$W$10+$X$10-$Y$10),MAX(0,$AB$10-$F$10-$K$10-$P$10-$U$10))),2)</f>
        <v>0.0</v>
      </c>
      <c r="AA10" s="13">
        <f>ROUND(MAX(0,$W$10+$X$10-$Y$10-$Z$10),2)</f>
        <v>7305.33</v>
      </c>
      <c r="AB10" s="13">
        <f>ROUND(ExtraPayment+IF($G$9&lt;=0,MedicalPlanMinPayment,0)+IF($L$9&lt;=0,StoreCardMinPayment,0)+IF($Q$9&lt;=0,RewardsVisaMinPayment,0)+IF($V$9&lt;=0,CreditUnionCardMinPayment,0)+IF($AA$9&lt;=0,PersonalLoanMinPayment,0),2)</f>
        <v>274.0</v>
      </c>
      <c r="AC10" s="13">
        <f>ROUND(SUM($D$10,$I$10,$N$10,$S$10,$X$10),2)</f>
        <v>226.76</v>
      </c>
      <c r="AD10" s="13">
        <f>ROUND(SUM($G$10,$L$10,$Q$10,$V$10,$AA$10),2)</f>
        <v>15700.45</v>
      </c>
    </row>
    <row r="11" spans="1:30">
      <c r="A11" s="17">
        <f>ROW()-3</f>
        <v>7</v>
      </c>
      <c r="B11" s="18" t="str">
        <f>TEXT(EDATE(StartDate,A11-1),"mmm yyyy")</f>
        <v>Oct 2026</v>
      </c>
      <c r="C11" s="13">
        <f>$G$10</f>
        <v>0.0</v>
      </c>
      <c r="D11" s="13">
        <f>ROUND(IF($C$11&lt;=0,0,$C$11*MedicalPlanAPR/12),2)</f>
        <v>0.0</v>
      </c>
      <c r="E11" s="13">
        <f>ROUND(IF($C$11&lt;=0,0,MIN(MedicalPlanMinPayment,$C$11+$D$11)),2)</f>
        <v>0.0</v>
      </c>
      <c r="F11" s="13">
        <f>ROUND(IF($C$11&lt;=0,0,MIN(MAX(0,$C$11+$D$11-$E$11),$AB$11)),2)</f>
        <v>0.0</v>
      </c>
      <c r="G11" s="13">
        <f>ROUND(MAX(0,$C$11+$D$11-$E$11-$F$11),2)</f>
        <v>0.0</v>
      </c>
      <c r="H11" s="13">
        <f>$L$10</f>
        <v>0.0</v>
      </c>
      <c r="I11" s="13">
        <f>ROUND(IF($H$11&lt;=0,0,$H$11*StoreCardAPR/12),2)</f>
        <v>0.0</v>
      </c>
      <c r="J11" s="13">
        <f>ROUND(IF($H$11&lt;=0,0,MIN(StoreCardMinPayment,$H$11+$I$11)),2)</f>
        <v>0.0</v>
      </c>
      <c r="K11" s="13">
        <f>ROUND(IF($H$11&lt;=0,0,MIN(MAX(0,$H$11+$I$11-$J$11),MAX(0,$AB$11-$F$11))),2)</f>
        <v>0.0</v>
      </c>
      <c r="L11" s="13">
        <f>ROUND(MAX(0,$H$11+$I$11-$J$11-$K$11),2)</f>
        <v>0.0</v>
      </c>
      <c r="M11" s="13">
        <f>$Q$10</f>
        <v>5133.31</v>
      </c>
      <c r="N11" s="13">
        <f>ROUND(IF($M$11&lt;=0,0,$M$11*RewardsVisaAPR/12),2)</f>
        <v>104.76</v>
      </c>
      <c r="O11" s="13">
        <f>ROUND(IF($M$11&lt;=0,0,MIN(RewardsVisaMinPayment,$M$11+$N$11)),2)</f>
        <v>164.0</v>
      </c>
      <c r="P11" s="13">
        <f>ROUND(IF($M$11&lt;=0,0,MIN(MAX(0,$M$11+$N$11-$O$11),MAX(0,$AB$11-$F$11-$K$11))),2)</f>
        <v>312.0</v>
      </c>
      <c r="Q11" s="13">
        <f>ROUND(MAX(0,$M$11+$N$11-$O$11-$P$11),2)</f>
        <v>4762.07</v>
      </c>
      <c r="R11" s="13">
        <f>$V$10</f>
        <v>3261.81</v>
      </c>
      <c r="S11" s="13">
        <f>ROUND(IF($R$11&lt;=0,0,$R$11*CreditUnionCardAPR/12),2)</f>
        <v>48.66</v>
      </c>
      <c r="T11" s="13">
        <f>ROUND(IF($R$11&lt;=0,0,MIN(CreditUnionCardMinPayment,$R$11+$S$11)),2)</f>
        <v>108.0</v>
      </c>
      <c r="U11" s="13">
        <f>ROUND(IF($R$11&lt;=0,0,MIN(MAX(0,$R$11+$S$11-$T$11),MAX(0,$AB$11-$F$11-$K$11-$P$11))),2)</f>
        <v>0.0</v>
      </c>
      <c r="V11" s="13">
        <f>ROUND(MAX(0,$R$11+$S$11-$T$11-$U$11),2)</f>
        <v>3202.47</v>
      </c>
      <c r="W11" s="13">
        <f>$AA$10</f>
        <v>7305.33</v>
      </c>
      <c r="X11" s="13">
        <f>ROUND(IF($W$11&lt;=0,0,$W$11*PersonalLoanAPR/12),2)</f>
        <v>62.4</v>
      </c>
      <c r="Y11" s="13">
        <f>ROUND(IF($W$11&lt;=0,0,MIN(PersonalLoanMinPayment,$W$11+$X$11)),2)</f>
        <v>216.0</v>
      </c>
      <c r="Z11" s="13">
        <f>ROUND(IF($W$11&lt;=0,0,MIN(MAX(0,$W$11+$X$11-$Y$11),MAX(0,$AB$11-$F$11-$K$11-$P$11-$U$11))),2)</f>
        <v>0.0</v>
      </c>
      <c r="AA11" s="13">
        <f>ROUND(MAX(0,$W$11+$X$11-$Y$11-$Z$11),2)</f>
        <v>7151.73</v>
      </c>
      <c r="AB11" s="13">
        <f>ROUND(ExtraPayment+IF($G$10&lt;=0,MedicalPlanMinPayment,0)+IF($L$10&lt;=0,StoreCardMinPayment,0)+IF($Q$10&lt;=0,RewardsVisaMinPayment,0)+IF($V$10&lt;=0,CreditUnionCardMinPayment,0)+IF($AA$10&lt;=0,PersonalLoanMinPayment,0),2)</f>
        <v>312.0</v>
      </c>
      <c r="AC11" s="13">
        <f>ROUND(SUM($D$11,$I$11,$N$11,$S$11,$X$11),2)</f>
        <v>215.82</v>
      </c>
      <c r="AD11" s="13">
        <f>ROUND(SUM($G$11,$L$11,$Q$11,$V$11,$AA$11),2)</f>
        <v>15116.27</v>
      </c>
    </row>
    <row r="12" spans="1:30">
      <c r="A12" s="17">
        <f>ROW()-3</f>
        <v>8</v>
      </c>
      <c r="B12" s="18" t="str">
        <f>TEXT(EDATE(StartDate,A12-1),"mmm yyyy")</f>
        <v>Nov 2026</v>
      </c>
      <c r="C12" s="13">
        <f>$G$11</f>
        <v>0.0</v>
      </c>
      <c r="D12" s="13">
        <f>ROUND(IF($C$12&lt;=0,0,$C$12*MedicalPlanAPR/12),2)</f>
        <v>0.0</v>
      </c>
      <c r="E12" s="13">
        <f>ROUND(IF($C$12&lt;=0,0,MIN(MedicalPlanMinPayment,$C$12+$D$12)),2)</f>
        <v>0.0</v>
      </c>
      <c r="F12" s="13">
        <f>ROUND(IF($C$12&lt;=0,0,MIN(MAX(0,$C$12+$D$12-$E$12),$AB$12)),2)</f>
        <v>0.0</v>
      </c>
      <c r="G12" s="13">
        <f>ROUND(MAX(0,$C$12+$D$12-$E$12-$F$12),2)</f>
        <v>0.0</v>
      </c>
      <c r="H12" s="13">
        <f>$L$11</f>
        <v>0.0</v>
      </c>
      <c r="I12" s="13">
        <f>ROUND(IF($H$12&lt;=0,0,$H$12*StoreCardAPR/12),2)</f>
        <v>0.0</v>
      </c>
      <c r="J12" s="13">
        <f>ROUND(IF($H$12&lt;=0,0,MIN(StoreCardMinPayment,$H$12+$I$12)),2)</f>
        <v>0.0</v>
      </c>
      <c r="K12" s="13">
        <f>ROUND(IF($H$12&lt;=0,0,MIN(MAX(0,$H$12+$I$12-$J$12),MAX(0,$AB$12-$F$12))),2)</f>
        <v>0.0</v>
      </c>
      <c r="L12" s="13">
        <f>ROUND(MAX(0,$H$12+$I$12-$J$12-$K$12),2)</f>
        <v>0.0</v>
      </c>
      <c r="M12" s="13">
        <f>$Q$11</f>
        <v>4762.07</v>
      </c>
      <c r="N12" s="13">
        <f>ROUND(IF($M$12&lt;=0,0,$M$12*RewardsVisaAPR/12),2)</f>
        <v>97.19</v>
      </c>
      <c r="O12" s="13">
        <f>ROUND(IF($M$12&lt;=0,0,MIN(RewardsVisaMinPayment,$M$12+$N$12)),2)</f>
        <v>164.0</v>
      </c>
      <c r="P12" s="13">
        <f>ROUND(IF($M$12&lt;=0,0,MIN(MAX(0,$M$12+$N$12-$O$12),MAX(0,$AB$12-$F$12-$K$12))),2)</f>
        <v>312.0</v>
      </c>
      <c r="Q12" s="13">
        <f>ROUND(MAX(0,$M$12+$N$12-$O$12-$P$12),2)</f>
        <v>4383.26</v>
      </c>
      <c r="R12" s="13">
        <f>$V$11</f>
        <v>3202.47</v>
      </c>
      <c r="S12" s="13">
        <f>ROUND(IF($R$12&lt;=0,0,$R$12*CreditUnionCardAPR/12),2)</f>
        <v>47.77</v>
      </c>
      <c r="T12" s="13">
        <f>ROUND(IF($R$12&lt;=0,0,MIN(CreditUnionCardMinPayment,$R$12+$S$12)),2)</f>
        <v>108.0</v>
      </c>
      <c r="U12" s="13">
        <f>ROUND(IF($R$12&lt;=0,0,MIN(MAX(0,$R$12+$S$12-$T$12),MAX(0,$AB$12-$F$12-$K$12-$P$12))),2)</f>
        <v>0.0</v>
      </c>
      <c r="V12" s="13">
        <f>ROUND(MAX(0,$R$12+$S$12-$T$12-$U$12),2)</f>
        <v>3142.24</v>
      </c>
      <c r="W12" s="13">
        <f>$AA$11</f>
        <v>7151.73</v>
      </c>
      <c r="X12" s="13">
        <f>ROUND(IF($W$12&lt;=0,0,$W$12*PersonalLoanAPR/12),2)</f>
        <v>61.09</v>
      </c>
      <c r="Y12" s="13">
        <f>ROUND(IF($W$12&lt;=0,0,MIN(PersonalLoanMinPayment,$W$12+$X$12)),2)</f>
        <v>216.0</v>
      </c>
      <c r="Z12" s="13">
        <f>ROUND(IF($W$12&lt;=0,0,MIN(MAX(0,$W$12+$X$12-$Y$12),MAX(0,$AB$12-$F$12-$K$12-$P$12-$U$12))),2)</f>
        <v>0.0</v>
      </c>
      <c r="AA12" s="13">
        <f>ROUND(MAX(0,$W$12+$X$12-$Y$12-$Z$12),2)</f>
        <v>6996.82</v>
      </c>
      <c r="AB12" s="13">
        <f>ROUND(ExtraPayment+IF($G$11&lt;=0,MedicalPlanMinPayment,0)+IF($L$11&lt;=0,StoreCardMinPayment,0)+IF($Q$11&lt;=0,RewardsVisaMinPayment,0)+IF($V$11&lt;=0,CreditUnionCardMinPayment,0)+IF($AA$11&lt;=0,PersonalLoanMinPayment,0),2)</f>
        <v>312.0</v>
      </c>
      <c r="AC12" s="13">
        <f>ROUND(SUM($D$12,$I$12,$N$12,$S$12,$X$12),2)</f>
        <v>206.05</v>
      </c>
      <c r="AD12" s="13">
        <f>ROUND(SUM($G$12,$L$12,$Q$12,$V$12,$AA$12),2)</f>
        <v>14522.32</v>
      </c>
    </row>
    <row r="13" spans="1:30">
      <c r="A13" s="17">
        <f>ROW()-3</f>
        <v>9</v>
      </c>
      <c r="B13" s="18" t="str">
        <f>TEXT(EDATE(StartDate,A13-1),"mmm yyyy")</f>
        <v>Dec 2026</v>
      </c>
      <c r="C13" s="13">
        <f>$G$12</f>
        <v>0.0</v>
      </c>
      <c r="D13" s="13">
        <f>ROUND(IF($C$13&lt;=0,0,$C$13*MedicalPlanAPR/12),2)</f>
        <v>0.0</v>
      </c>
      <c r="E13" s="13">
        <f>ROUND(IF($C$13&lt;=0,0,MIN(MedicalPlanMinPayment,$C$13+$D$13)),2)</f>
        <v>0.0</v>
      </c>
      <c r="F13" s="13">
        <f>ROUND(IF($C$13&lt;=0,0,MIN(MAX(0,$C$13+$D$13-$E$13),$AB$13)),2)</f>
        <v>0.0</v>
      </c>
      <c r="G13" s="13">
        <f>ROUND(MAX(0,$C$13+$D$13-$E$13-$F$13),2)</f>
        <v>0.0</v>
      </c>
      <c r="H13" s="13">
        <f>$L$12</f>
        <v>0.0</v>
      </c>
      <c r="I13" s="13">
        <f>ROUND(IF($H$13&lt;=0,0,$H$13*StoreCardAPR/12),2)</f>
        <v>0.0</v>
      </c>
      <c r="J13" s="13">
        <f>ROUND(IF($H$13&lt;=0,0,MIN(StoreCardMinPayment,$H$13+$I$13)),2)</f>
        <v>0.0</v>
      </c>
      <c r="K13" s="13">
        <f>ROUND(IF($H$13&lt;=0,0,MIN(MAX(0,$H$13+$I$13-$J$13),MAX(0,$AB$13-$F$13))),2)</f>
        <v>0.0</v>
      </c>
      <c r="L13" s="13">
        <f>ROUND(MAX(0,$H$13+$I$13-$J$13-$K$13),2)</f>
        <v>0.0</v>
      </c>
      <c r="M13" s="13">
        <f>$Q$12</f>
        <v>4383.26</v>
      </c>
      <c r="N13" s="13">
        <f>ROUND(IF($M$13&lt;=0,0,$M$13*RewardsVisaAPR/12),2)</f>
        <v>89.46</v>
      </c>
      <c r="O13" s="13">
        <f>ROUND(IF($M$13&lt;=0,0,MIN(RewardsVisaMinPayment,$M$13+$N$13)),2)</f>
        <v>164.0</v>
      </c>
      <c r="P13" s="13">
        <f>ROUND(IF($M$13&lt;=0,0,MIN(MAX(0,$M$13+$N$13-$O$13),MAX(0,$AB$13-$F$13-$K$13))),2)</f>
        <v>312.0</v>
      </c>
      <c r="Q13" s="13">
        <f>ROUND(MAX(0,$M$13+$N$13-$O$13-$P$13),2)</f>
        <v>3996.72</v>
      </c>
      <c r="R13" s="13">
        <f>$V$12</f>
        <v>3142.24</v>
      </c>
      <c r="S13" s="13">
        <f>ROUND(IF($R$13&lt;=0,0,$R$13*CreditUnionCardAPR/12),2)</f>
        <v>46.87</v>
      </c>
      <c r="T13" s="13">
        <f>ROUND(IF($R$13&lt;=0,0,MIN(CreditUnionCardMinPayment,$R$13+$S$13)),2)</f>
        <v>108.0</v>
      </c>
      <c r="U13" s="13">
        <f>ROUND(IF($R$13&lt;=0,0,MIN(MAX(0,$R$13+$S$13-$T$13),MAX(0,$AB$13-$F$13-$K$13-$P$13))),2)</f>
        <v>0.0</v>
      </c>
      <c r="V13" s="13">
        <f>ROUND(MAX(0,$R$13+$S$13-$T$13-$U$13),2)</f>
        <v>3081.11</v>
      </c>
      <c r="W13" s="13">
        <f>$AA$12</f>
        <v>6996.82</v>
      </c>
      <c r="X13" s="13">
        <f>ROUND(IF($W$13&lt;=0,0,$W$13*PersonalLoanAPR/12),2)</f>
        <v>59.76</v>
      </c>
      <c r="Y13" s="13">
        <f>ROUND(IF($W$13&lt;=0,0,MIN(PersonalLoanMinPayment,$W$13+$X$13)),2)</f>
        <v>216.0</v>
      </c>
      <c r="Z13" s="13">
        <f>ROUND(IF($W$13&lt;=0,0,MIN(MAX(0,$W$13+$X$13-$Y$13),MAX(0,$AB$13-$F$13-$K$13-$P$13-$U$13))),2)</f>
        <v>0.0</v>
      </c>
      <c r="AA13" s="13">
        <f>ROUND(MAX(0,$W$13+$X$13-$Y$13-$Z$13),2)</f>
        <v>6840.58</v>
      </c>
      <c r="AB13" s="13">
        <f>ROUND(ExtraPayment+IF($G$12&lt;=0,MedicalPlanMinPayment,0)+IF($L$12&lt;=0,StoreCardMinPayment,0)+IF($Q$12&lt;=0,RewardsVisaMinPayment,0)+IF($V$12&lt;=0,CreditUnionCardMinPayment,0)+IF($AA$12&lt;=0,PersonalLoanMinPayment,0),2)</f>
        <v>312.0</v>
      </c>
      <c r="AC13" s="13">
        <f>ROUND(SUM($D$13,$I$13,$N$13,$S$13,$X$13),2)</f>
        <v>196.09</v>
      </c>
      <c r="AD13" s="13">
        <f>ROUND(SUM($G$13,$L$13,$Q$13,$V$13,$AA$13),2)</f>
        <v>13918.41</v>
      </c>
    </row>
    <row r="14" spans="1:30">
      <c r="A14" s="17">
        <f>ROW()-3</f>
        <v>10</v>
      </c>
      <c r="B14" s="18" t="str">
        <f>TEXT(EDATE(StartDate,A14-1),"mmm yyyy")</f>
        <v>Jan 2027</v>
      </c>
      <c r="C14" s="13">
        <f>$G$13</f>
        <v>0.0</v>
      </c>
      <c r="D14" s="13">
        <f>ROUND(IF($C$14&lt;=0,0,$C$14*MedicalPlanAPR/12),2)</f>
        <v>0.0</v>
      </c>
      <c r="E14" s="13">
        <f>ROUND(IF($C$14&lt;=0,0,MIN(MedicalPlanMinPayment,$C$14+$D$14)),2)</f>
        <v>0.0</v>
      </c>
      <c r="F14" s="13">
        <f>ROUND(IF($C$14&lt;=0,0,MIN(MAX(0,$C$14+$D$14-$E$14),$AB$14)),2)</f>
        <v>0.0</v>
      </c>
      <c r="G14" s="13">
        <f>ROUND(MAX(0,$C$14+$D$14-$E$14-$F$14),2)</f>
        <v>0.0</v>
      </c>
      <c r="H14" s="13">
        <f>$L$13</f>
        <v>0.0</v>
      </c>
      <c r="I14" s="13">
        <f>ROUND(IF($H$14&lt;=0,0,$H$14*StoreCardAPR/12),2)</f>
        <v>0.0</v>
      </c>
      <c r="J14" s="13">
        <f>ROUND(IF($H$14&lt;=0,0,MIN(StoreCardMinPayment,$H$14+$I$14)),2)</f>
        <v>0.0</v>
      </c>
      <c r="K14" s="13">
        <f>ROUND(IF($H$14&lt;=0,0,MIN(MAX(0,$H$14+$I$14-$J$14),MAX(0,$AB$14-$F$14))),2)</f>
        <v>0.0</v>
      </c>
      <c r="L14" s="13">
        <f>ROUND(MAX(0,$H$14+$I$14-$J$14-$K$14),2)</f>
        <v>0.0</v>
      </c>
      <c r="M14" s="13">
        <f>$Q$13</f>
        <v>3996.72</v>
      </c>
      <c r="N14" s="13">
        <f>ROUND(IF($M$14&lt;=0,0,$M$14*RewardsVisaAPR/12),2)</f>
        <v>81.57</v>
      </c>
      <c r="O14" s="13">
        <f>ROUND(IF($M$14&lt;=0,0,MIN(RewardsVisaMinPayment,$M$14+$N$14)),2)</f>
        <v>164.0</v>
      </c>
      <c r="P14" s="13">
        <f>ROUND(IF($M$14&lt;=0,0,MIN(MAX(0,$M$14+$N$14-$O$14),MAX(0,$AB$14-$F$14-$K$14))),2)</f>
        <v>312.0</v>
      </c>
      <c r="Q14" s="13">
        <f>ROUND(MAX(0,$M$14+$N$14-$O$14-$P$14),2)</f>
        <v>3602.29</v>
      </c>
      <c r="R14" s="13">
        <f>$V$13</f>
        <v>3081.11</v>
      </c>
      <c r="S14" s="13">
        <f>ROUND(IF($R$14&lt;=0,0,$R$14*CreditUnionCardAPR/12),2)</f>
        <v>45.96</v>
      </c>
      <c r="T14" s="13">
        <f>ROUND(IF($R$14&lt;=0,0,MIN(CreditUnionCardMinPayment,$R$14+$S$14)),2)</f>
        <v>108.0</v>
      </c>
      <c r="U14" s="13">
        <f>ROUND(IF($R$14&lt;=0,0,MIN(MAX(0,$R$14+$S$14-$T$14),MAX(0,$AB$14-$F$14-$K$14-$P$14))),2)</f>
        <v>0.0</v>
      </c>
      <c r="V14" s="13">
        <f>ROUND(MAX(0,$R$14+$S$14-$T$14-$U$14),2)</f>
        <v>3019.07</v>
      </c>
      <c r="W14" s="13">
        <f>$AA$13</f>
        <v>6840.58</v>
      </c>
      <c r="X14" s="13">
        <f>ROUND(IF($W$14&lt;=0,0,$W$14*PersonalLoanAPR/12),2)</f>
        <v>58.43</v>
      </c>
      <c r="Y14" s="13">
        <f>ROUND(IF($W$14&lt;=0,0,MIN(PersonalLoanMinPayment,$W$14+$X$14)),2)</f>
        <v>216.0</v>
      </c>
      <c r="Z14" s="13">
        <f>ROUND(IF($W$14&lt;=0,0,MIN(MAX(0,$W$14+$X$14-$Y$14),MAX(0,$AB$14-$F$14-$K$14-$P$14-$U$14))),2)</f>
        <v>0.0</v>
      </c>
      <c r="AA14" s="13">
        <f>ROUND(MAX(0,$W$14+$X$14-$Y$14-$Z$14),2)</f>
        <v>6683.01</v>
      </c>
      <c r="AB14" s="13">
        <f>ROUND(ExtraPayment+IF($G$13&lt;=0,MedicalPlanMinPayment,0)+IF($L$13&lt;=0,StoreCardMinPayment,0)+IF($Q$13&lt;=0,RewardsVisaMinPayment,0)+IF($V$13&lt;=0,CreditUnionCardMinPayment,0)+IF($AA$13&lt;=0,PersonalLoanMinPayment,0),2)</f>
        <v>312.0</v>
      </c>
      <c r="AC14" s="13">
        <f>ROUND(SUM($D$14,$I$14,$N$14,$S$14,$X$14),2)</f>
        <v>185.96</v>
      </c>
      <c r="AD14" s="13">
        <f>ROUND(SUM($G$14,$L$14,$Q$14,$V$14,$AA$14),2)</f>
        <v>13304.37</v>
      </c>
    </row>
    <row r="15" spans="1:30">
      <c r="A15" s="17">
        <f>ROW()-3</f>
        <v>11</v>
      </c>
      <c r="B15" s="18" t="str">
        <f>TEXT(EDATE(StartDate,A15-1),"mmm yyyy")</f>
        <v>Feb 2027</v>
      </c>
      <c r="C15" s="13">
        <f>$G$14</f>
        <v>0.0</v>
      </c>
      <c r="D15" s="13">
        <f>ROUND(IF($C$15&lt;=0,0,$C$15*MedicalPlanAPR/12),2)</f>
        <v>0.0</v>
      </c>
      <c r="E15" s="13">
        <f>ROUND(IF($C$15&lt;=0,0,MIN(MedicalPlanMinPayment,$C$15+$D$15)),2)</f>
        <v>0.0</v>
      </c>
      <c r="F15" s="13">
        <f>ROUND(IF($C$15&lt;=0,0,MIN(MAX(0,$C$15+$D$15-$E$15),$AB$15)),2)</f>
        <v>0.0</v>
      </c>
      <c r="G15" s="13">
        <f>ROUND(MAX(0,$C$15+$D$15-$E$15-$F$15),2)</f>
        <v>0.0</v>
      </c>
      <c r="H15" s="13">
        <f>$L$14</f>
        <v>0.0</v>
      </c>
      <c r="I15" s="13">
        <f>ROUND(IF($H$15&lt;=0,0,$H$15*StoreCardAPR/12),2)</f>
        <v>0.0</v>
      </c>
      <c r="J15" s="13">
        <f>ROUND(IF($H$15&lt;=0,0,MIN(StoreCardMinPayment,$H$15+$I$15)),2)</f>
        <v>0.0</v>
      </c>
      <c r="K15" s="13">
        <f>ROUND(IF($H$15&lt;=0,0,MIN(MAX(0,$H$15+$I$15-$J$15),MAX(0,$AB$15-$F$15))),2)</f>
        <v>0.0</v>
      </c>
      <c r="L15" s="13">
        <f>ROUND(MAX(0,$H$15+$I$15-$J$15-$K$15),2)</f>
        <v>0.0</v>
      </c>
      <c r="M15" s="13">
        <f>$Q$14</f>
        <v>3602.29</v>
      </c>
      <c r="N15" s="13">
        <f>ROUND(IF($M$15&lt;=0,0,$M$15*RewardsVisaAPR/12),2)</f>
        <v>73.52</v>
      </c>
      <c r="O15" s="13">
        <f>ROUND(IF($M$15&lt;=0,0,MIN(RewardsVisaMinPayment,$M$15+$N$15)),2)</f>
        <v>164.0</v>
      </c>
      <c r="P15" s="13">
        <f>ROUND(IF($M$15&lt;=0,0,MIN(MAX(0,$M$15+$N$15-$O$15),MAX(0,$AB$15-$F$15-$K$15))),2)</f>
        <v>312.0</v>
      </c>
      <c r="Q15" s="13">
        <f>ROUND(MAX(0,$M$15+$N$15-$O$15-$P$15),2)</f>
        <v>3199.81</v>
      </c>
      <c r="R15" s="13">
        <f>$V$14</f>
        <v>3019.07</v>
      </c>
      <c r="S15" s="13">
        <f>ROUND(IF($R$15&lt;=0,0,$R$15*CreditUnionCardAPR/12),2)</f>
        <v>45.03</v>
      </c>
      <c r="T15" s="13">
        <f>ROUND(IF($R$15&lt;=0,0,MIN(CreditUnionCardMinPayment,$R$15+$S$15)),2)</f>
        <v>108.0</v>
      </c>
      <c r="U15" s="13">
        <f>ROUND(IF($R$15&lt;=0,0,MIN(MAX(0,$R$15+$S$15-$T$15),MAX(0,$AB$15-$F$15-$K$15-$P$15))),2)</f>
        <v>0.0</v>
      </c>
      <c r="V15" s="13">
        <f>ROUND(MAX(0,$R$15+$S$15-$T$15-$U$15),2)</f>
        <v>2956.1</v>
      </c>
      <c r="W15" s="13">
        <f>$AA$14</f>
        <v>6683.01</v>
      </c>
      <c r="X15" s="13">
        <f>ROUND(IF($W$15&lt;=0,0,$W$15*PersonalLoanAPR/12),2)</f>
        <v>57.08</v>
      </c>
      <c r="Y15" s="13">
        <f>ROUND(IF($W$15&lt;=0,0,MIN(PersonalLoanMinPayment,$W$15+$X$15)),2)</f>
        <v>216.0</v>
      </c>
      <c r="Z15" s="13">
        <f>ROUND(IF($W$15&lt;=0,0,MIN(MAX(0,$W$15+$X$15-$Y$15),MAX(0,$AB$15-$F$15-$K$15-$P$15-$U$15))),2)</f>
        <v>0.0</v>
      </c>
      <c r="AA15" s="13">
        <f>ROUND(MAX(0,$W$15+$X$15-$Y$15-$Z$15),2)</f>
        <v>6524.09</v>
      </c>
      <c r="AB15" s="13">
        <f>ROUND(ExtraPayment+IF($G$14&lt;=0,MedicalPlanMinPayment,0)+IF($L$14&lt;=0,StoreCardMinPayment,0)+IF($Q$14&lt;=0,RewardsVisaMinPayment,0)+IF($V$14&lt;=0,CreditUnionCardMinPayment,0)+IF($AA$14&lt;=0,PersonalLoanMinPayment,0),2)</f>
        <v>312.0</v>
      </c>
      <c r="AC15" s="13">
        <f>ROUND(SUM($D$15,$I$15,$N$15,$S$15,$X$15),2)</f>
        <v>175.63</v>
      </c>
      <c r="AD15" s="13">
        <f>ROUND(SUM($G$15,$L$15,$Q$15,$V$15,$AA$15),2)</f>
        <v>12680.0</v>
      </c>
    </row>
    <row r="16" spans="1:30">
      <c r="A16" s="17">
        <f>ROW()-3</f>
        <v>12</v>
      </c>
      <c r="B16" s="18" t="str">
        <f>TEXT(EDATE(StartDate,A16-1),"mmm yyyy")</f>
        <v>Mar 2027</v>
      </c>
      <c r="C16" s="13">
        <f>$G$15</f>
        <v>0.0</v>
      </c>
      <c r="D16" s="13">
        <f>ROUND(IF($C$16&lt;=0,0,$C$16*MedicalPlanAPR/12),2)</f>
        <v>0.0</v>
      </c>
      <c r="E16" s="13">
        <f>ROUND(IF($C$16&lt;=0,0,MIN(MedicalPlanMinPayment,$C$16+$D$16)),2)</f>
        <v>0.0</v>
      </c>
      <c r="F16" s="13">
        <f>ROUND(IF($C$16&lt;=0,0,MIN(MAX(0,$C$16+$D$16-$E$16),$AB$16)),2)</f>
        <v>0.0</v>
      </c>
      <c r="G16" s="13">
        <f>ROUND(MAX(0,$C$16+$D$16-$E$16-$F$16),2)</f>
        <v>0.0</v>
      </c>
      <c r="H16" s="13">
        <f>$L$15</f>
        <v>0.0</v>
      </c>
      <c r="I16" s="13">
        <f>ROUND(IF($H$16&lt;=0,0,$H$16*StoreCardAPR/12),2)</f>
        <v>0.0</v>
      </c>
      <c r="J16" s="13">
        <f>ROUND(IF($H$16&lt;=0,0,MIN(StoreCardMinPayment,$H$16+$I$16)),2)</f>
        <v>0.0</v>
      </c>
      <c r="K16" s="13">
        <f>ROUND(IF($H$16&lt;=0,0,MIN(MAX(0,$H$16+$I$16-$J$16),MAX(0,$AB$16-$F$16))),2)</f>
        <v>0.0</v>
      </c>
      <c r="L16" s="13">
        <f>ROUND(MAX(0,$H$16+$I$16-$J$16-$K$16),2)</f>
        <v>0.0</v>
      </c>
      <c r="M16" s="13">
        <f>$Q$15</f>
        <v>3199.81</v>
      </c>
      <c r="N16" s="13">
        <f>ROUND(IF($M$16&lt;=0,0,$M$16*RewardsVisaAPR/12),2)</f>
        <v>65.3</v>
      </c>
      <c r="O16" s="13">
        <f>ROUND(IF($M$16&lt;=0,0,MIN(RewardsVisaMinPayment,$M$16+$N$16)),2)</f>
        <v>164.0</v>
      </c>
      <c r="P16" s="13">
        <f>ROUND(IF($M$16&lt;=0,0,MIN(MAX(0,$M$16+$N$16-$O$16),MAX(0,$AB$16-$F$16-$K$16))),2)</f>
        <v>312.0</v>
      </c>
      <c r="Q16" s="13">
        <f>ROUND(MAX(0,$M$16+$N$16-$O$16-$P$16),2)</f>
        <v>2789.11</v>
      </c>
      <c r="R16" s="13">
        <f>$V$15</f>
        <v>2956.1</v>
      </c>
      <c r="S16" s="13">
        <f>ROUND(IF($R$16&lt;=0,0,$R$16*CreditUnionCardAPR/12),2)</f>
        <v>44.1</v>
      </c>
      <c r="T16" s="13">
        <f>ROUND(IF($R$16&lt;=0,0,MIN(CreditUnionCardMinPayment,$R$16+$S$16)),2)</f>
        <v>108.0</v>
      </c>
      <c r="U16" s="13">
        <f>ROUND(IF($R$16&lt;=0,0,MIN(MAX(0,$R$16+$S$16-$T$16),MAX(0,$AB$16-$F$16-$K$16-$P$16))),2)</f>
        <v>0.0</v>
      </c>
      <c r="V16" s="13">
        <f>ROUND(MAX(0,$R$16+$S$16-$T$16-$U$16),2)</f>
        <v>2892.2</v>
      </c>
      <c r="W16" s="13">
        <f>$AA$15</f>
        <v>6524.09</v>
      </c>
      <c r="X16" s="13">
        <f>ROUND(IF($W$16&lt;=0,0,$W$16*PersonalLoanAPR/12),2)</f>
        <v>55.73</v>
      </c>
      <c r="Y16" s="13">
        <f>ROUND(IF($W$16&lt;=0,0,MIN(PersonalLoanMinPayment,$W$16+$X$16)),2)</f>
        <v>216.0</v>
      </c>
      <c r="Z16" s="13">
        <f>ROUND(IF($W$16&lt;=0,0,MIN(MAX(0,$W$16+$X$16-$Y$16),MAX(0,$AB$16-$F$16-$K$16-$P$16-$U$16))),2)</f>
        <v>0.0</v>
      </c>
      <c r="AA16" s="13">
        <f>ROUND(MAX(0,$W$16+$X$16-$Y$16-$Z$16),2)</f>
        <v>6363.82</v>
      </c>
      <c r="AB16" s="13">
        <f>ROUND(ExtraPayment+IF($G$15&lt;=0,MedicalPlanMinPayment,0)+IF($L$15&lt;=0,StoreCardMinPayment,0)+IF($Q$15&lt;=0,RewardsVisaMinPayment,0)+IF($V$15&lt;=0,CreditUnionCardMinPayment,0)+IF($AA$15&lt;=0,PersonalLoanMinPayment,0),2)</f>
        <v>312.0</v>
      </c>
      <c r="AC16" s="13">
        <f>ROUND(SUM($D$16,$I$16,$N$16,$S$16,$X$16),2)</f>
        <v>165.13</v>
      </c>
      <c r="AD16" s="13">
        <f>ROUND(SUM($G$16,$L$16,$Q$16,$V$16,$AA$16),2)</f>
        <v>12045.13</v>
      </c>
    </row>
    <row r="17" spans="1:30">
      <c r="A17" s="17">
        <f>ROW()-3</f>
        <v>13</v>
      </c>
      <c r="B17" s="18" t="str">
        <f>TEXT(EDATE(StartDate,A17-1),"mmm yyyy")</f>
        <v>Apr 2027</v>
      </c>
      <c r="C17" s="13">
        <f>$G$16</f>
        <v>0.0</v>
      </c>
      <c r="D17" s="13">
        <f>ROUND(IF($C$17&lt;=0,0,$C$17*MedicalPlanAPR/12),2)</f>
        <v>0.0</v>
      </c>
      <c r="E17" s="13">
        <f>ROUND(IF($C$17&lt;=0,0,MIN(MedicalPlanMinPayment,$C$17+$D$17)),2)</f>
        <v>0.0</v>
      </c>
      <c r="F17" s="13">
        <f>ROUND(IF($C$17&lt;=0,0,MIN(MAX(0,$C$17+$D$17-$E$17),$AB$17)),2)</f>
        <v>0.0</v>
      </c>
      <c r="G17" s="13">
        <f>ROUND(MAX(0,$C$17+$D$17-$E$17-$F$17),2)</f>
        <v>0.0</v>
      </c>
      <c r="H17" s="13">
        <f>$L$16</f>
        <v>0.0</v>
      </c>
      <c r="I17" s="13">
        <f>ROUND(IF($H$17&lt;=0,0,$H$17*StoreCardAPR/12),2)</f>
        <v>0.0</v>
      </c>
      <c r="J17" s="13">
        <f>ROUND(IF($H$17&lt;=0,0,MIN(StoreCardMinPayment,$H$17+$I$17)),2)</f>
        <v>0.0</v>
      </c>
      <c r="K17" s="13">
        <f>ROUND(IF($H$17&lt;=0,0,MIN(MAX(0,$H$17+$I$17-$J$17),MAX(0,$AB$17-$F$17))),2)</f>
        <v>0.0</v>
      </c>
      <c r="L17" s="13">
        <f>ROUND(MAX(0,$H$17+$I$17-$J$17-$K$17),2)</f>
        <v>0.0</v>
      </c>
      <c r="M17" s="13">
        <f>$Q$16</f>
        <v>2789.11</v>
      </c>
      <c r="N17" s="13">
        <f>ROUND(IF($M$17&lt;=0,0,$M$17*RewardsVisaAPR/12),2)</f>
        <v>56.92</v>
      </c>
      <c r="O17" s="13">
        <f>ROUND(IF($M$17&lt;=0,0,MIN(RewardsVisaMinPayment,$M$17+$N$17)),2)</f>
        <v>164.0</v>
      </c>
      <c r="P17" s="13">
        <f>ROUND(IF($M$17&lt;=0,0,MIN(MAX(0,$M$17+$N$17-$O$17),MAX(0,$AB$17-$F$17-$K$17))),2)</f>
        <v>312.0</v>
      </c>
      <c r="Q17" s="13">
        <f>ROUND(MAX(0,$M$17+$N$17-$O$17-$P$17),2)</f>
        <v>2370.03</v>
      </c>
      <c r="R17" s="13">
        <f>$V$16</f>
        <v>2892.2</v>
      </c>
      <c r="S17" s="13">
        <f>ROUND(IF($R$17&lt;=0,0,$R$17*CreditUnionCardAPR/12),2)</f>
        <v>43.14</v>
      </c>
      <c r="T17" s="13">
        <f>ROUND(IF($R$17&lt;=0,0,MIN(CreditUnionCardMinPayment,$R$17+$S$17)),2)</f>
        <v>108.0</v>
      </c>
      <c r="U17" s="13">
        <f>ROUND(IF($R$17&lt;=0,0,MIN(MAX(0,$R$17+$S$17-$T$17),MAX(0,$AB$17-$F$17-$K$17-$P$17))),2)</f>
        <v>0.0</v>
      </c>
      <c r="V17" s="13">
        <f>ROUND(MAX(0,$R$17+$S$17-$T$17-$U$17),2)</f>
        <v>2827.34</v>
      </c>
      <c r="W17" s="13">
        <f>$AA$16</f>
        <v>6363.82</v>
      </c>
      <c r="X17" s="13">
        <f>ROUND(IF($W$17&lt;=0,0,$W$17*PersonalLoanAPR/12),2)</f>
        <v>54.36</v>
      </c>
      <c r="Y17" s="13">
        <f>ROUND(IF($W$17&lt;=0,0,MIN(PersonalLoanMinPayment,$W$17+$X$17)),2)</f>
        <v>216.0</v>
      </c>
      <c r="Z17" s="13">
        <f>ROUND(IF($W$17&lt;=0,0,MIN(MAX(0,$W$17+$X$17-$Y$17),MAX(0,$AB$17-$F$17-$K$17-$P$17-$U$17))),2)</f>
        <v>0.0</v>
      </c>
      <c r="AA17" s="13">
        <f>ROUND(MAX(0,$W$17+$X$17-$Y$17-$Z$17),2)</f>
        <v>6202.18</v>
      </c>
      <c r="AB17" s="13">
        <f>ROUND(ExtraPayment+IF($G$16&lt;=0,MedicalPlanMinPayment,0)+IF($L$16&lt;=0,StoreCardMinPayment,0)+IF($Q$16&lt;=0,RewardsVisaMinPayment,0)+IF($V$16&lt;=0,CreditUnionCardMinPayment,0)+IF($AA$16&lt;=0,PersonalLoanMinPayment,0),2)</f>
        <v>312.0</v>
      </c>
      <c r="AC17" s="13">
        <f>ROUND(SUM($D$17,$I$17,$N$17,$S$17,$X$17),2)</f>
        <v>154.42</v>
      </c>
      <c r="AD17" s="13">
        <f>ROUND(SUM($G$17,$L$17,$Q$17,$V$17,$AA$17),2)</f>
        <v>11399.55</v>
      </c>
    </row>
    <row r="18" spans="1:30">
      <c r="A18" s="17">
        <f>ROW()-3</f>
        <v>14</v>
      </c>
      <c r="B18" s="18" t="str">
        <f>TEXT(EDATE(StartDate,A18-1),"mmm yyyy")</f>
        <v>May 2027</v>
      </c>
      <c r="C18" s="13">
        <f>$G$17</f>
        <v>0.0</v>
      </c>
      <c r="D18" s="13">
        <f>ROUND(IF($C$18&lt;=0,0,$C$18*MedicalPlanAPR/12),2)</f>
        <v>0.0</v>
      </c>
      <c r="E18" s="13">
        <f>ROUND(IF($C$18&lt;=0,0,MIN(MedicalPlanMinPayment,$C$18+$D$18)),2)</f>
        <v>0.0</v>
      </c>
      <c r="F18" s="13">
        <f>ROUND(IF($C$18&lt;=0,0,MIN(MAX(0,$C$18+$D$18-$E$18),$AB$18)),2)</f>
        <v>0.0</v>
      </c>
      <c r="G18" s="13">
        <f>ROUND(MAX(0,$C$18+$D$18-$E$18-$F$18),2)</f>
        <v>0.0</v>
      </c>
      <c r="H18" s="13">
        <f>$L$17</f>
        <v>0.0</v>
      </c>
      <c r="I18" s="13">
        <f>ROUND(IF($H$18&lt;=0,0,$H$18*StoreCardAPR/12),2)</f>
        <v>0.0</v>
      </c>
      <c r="J18" s="13">
        <f>ROUND(IF($H$18&lt;=0,0,MIN(StoreCardMinPayment,$H$18+$I$18)),2)</f>
        <v>0.0</v>
      </c>
      <c r="K18" s="13">
        <f>ROUND(IF($H$18&lt;=0,0,MIN(MAX(0,$H$18+$I$18-$J$18),MAX(0,$AB$18-$F$18))),2)</f>
        <v>0.0</v>
      </c>
      <c r="L18" s="13">
        <f>ROUND(MAX(0,$H$18+$I$18-$J$18-$K$18),2)</f>
        <v>0.0</v>
      </c>
      <c r="M18" s="13">
        <f>$Q$17</f>
        <v>2370.03</v>
      </c>
      <c r="N18" s="13">
        <f>ROUND(IF($M$18&lt;=0,0,$M$18*RewardsVisaAPR/12),2)</f>
        <v>48.37</v>
      </c>
      <c r="O18" s="13">
        <f>ROUND(IF($M$18&lt;=0,0,MIN(RewardsVisaMinPayment,$M$18+$N$18)),2)</f>
        <v>164.0</v>
      </c>
      <c r="P18" s="13">
        <f>ROUND(IF($M$18&lt;=0,0,MIN(MAX(0,$M$18+$N$18-$O$18),MAX(0,$AB$18-$F$18-$K$18))),2)</f>
        <v>312.0</v>
      </c>
      <c r="Q18" s="13">
        <f>ROUND(MAX(0,$M$18+$N$18-$O$18-$P$18),2)</f>
        <v>1942.4</v>
      </c>
      <c r="R18" s="13">
        <f>$V$17</f>
        <v>2827.34</v>
      </c>
      <c r="S18" s="13">
        <f>ROUND(IF($R$18&lt;=0,0,$R$18*CreditUnionCardAPR/12),2)</f>
        <v>42.17</v>
      </c>
      <c r="T18" s="13">
        <f>ROUND(IF($R$18&lt;=0,0,MIN(CreditUnionCardMinPayment,$R$18+$S$18)),2)</f>
        <v>108.0</v>
      </c>
      <c r="U18" s="13">
        <f>ROUND(IF($R$18&lt;=0,0,MIN(MAX(0,$R$18+$S$18-$T$18),MAX(0,$AB$18-$F$18-$K$18-$P$18))),2)</f>
        <v>0.0</v>
      </c>
      <c r="V18" s="13">
        <f>ROUND(MAX(0,$R$18+$S$18-$T$18-$U$18),2)</f>
        <v>2761.51</v>
      </c>
      <c r="W18" s="13">
        <f>$AA$17</f>
        <v>6202.18</v>
      </c>
      <c r="X18" s="13">
        <f>ROUND(IF($W$18&lt;=0,0,$W$18*PersonalLoanAPR/12),2)</f>
        <v>52.98</v>
      </c>
      <c r="Y18" s="13">
        <f>ROUND(IF($W$18&lt;=0,0,MIN(PersonalLoanMinPayment,$W$18+$X$18)),2)</f>
        <v>216.0</v>
      </c>
      <c r="Z18" s="13">
        <f>ROUND(IF($W$18&lt;=0,0,MIN(MAX(0,$W$18+$X$18-$Y$18),MAX(0,$AB$18-$F$18-$K$18-$P$18-$U$18))),2)</f>
        <v>0.0</v>
      </c>
      <c r="AA18" s="13">
        <f>ROUND(MAX(0,$W$18+$X$18-$Y$18-$Z$18),2)</f>
        <v>6039.16</v>
      </c>
      <c r="AB18" s="13">
        <f>ROUND(ExtraPayment+IF($G$17&lt;=0,MedicalPlanMinPayment,0)+IF($L$17&lt;=0,StoreCardMinPayment,0)+IF($Q$17&lt;=0,RewardsVisaMinPayment,0)+IF($V$17&lt;=0,CreditUnionCardMinPayment,0)+IF($AA$17&lt;=0,PersonalLoanMinPayment,0),2)</f>
        <v>312.0</v>
      </c>
      <c r="AC18" s="13">
        <f>ROUND(SUM($D$18,$I$18,$N$18,$S$18,$X$18),2)</f>
        <v>143.52</v>
      </c>
      <c r="AD18" s="13">
        <f>ROUND(SUM($G$18,$L$18,$Q$18,$V$18,$AA$18),2)</f>
        <v>10743.07</v>
      </c>
    </row>
    <row r="19" spans="1:30">
      <c r="A19" s="17">
        <f>ROW()-3</f>
        <v>15</v>
      </c>
      <c r="B19" s="18" t="str">
        <f>TEXT(EDATE(StartDate,A19-1),"mmm yyyy")</f>
        <v>Jun 2027</v>
      </c>
      <c r="C19" s="13">
        <f>$G$18</f>
        <v>0.0</v>
      </c>
      <c r="D19" s="13">
        <f>ROUND(IF($C$19&lt;=0,0,$C$19*MedicalPlanAPR/12),2)</f>
        <v>0.0</v>
      </c>
      <c r="E19" s="13">
        <f>ROUND(IF($C$19&lt;=0,0,MIN(MedicalPlanMinPayment,$C$19+$D$19)),2)</f>
        <v>0.0</v>
      </c>
      <c r="F19" s="13">
        <f>ROUND(IF($C$19&lt;=0,0,MIN(MAX(0,$C$19+$D$19-$E$19),$AB$19)),2)</f>
        <v>0.0</v>
      </c>
      <c r="G19" s="13">
        <f>ROUND(MAX(0,$C$19+$D$19-$E$19-$F$19),2)</f>
        <v>0.0</v>
      </c>
      <c r="H19" s="13">
        <f>$L$18</f>
        <v>0.0</v>
      </c>
      <c r="I19" s="13">
        <f>ROUND(IF($H$19&lt;=0,0,$H$19*StoreCardAPR/12),2)</f>
        <v>0.0</v>
      </c>
      <c r="J19" s="13">
        <f>ROUND(IF($H$19&lt;=0,0,MIN(StoreCardMinPayment,$H$19+$I$19)),2)</f>
        <v>0.0</v>
      </c>
      <c r="K19" s="13">
        <f>ROUND(IF($H$19&lt;=0,0,MIN(MAX(0,$H$19+$I$19-$J$19),MAX(0,$AB$19-$F$19))),2)</f>
        <v>0.0</v>
      </c>
      <c r="L19" s="13">
        <f>ROUND(MAX(0,$H$19+$I$19-$J$19-$K$19),2)</f>
        <v>0.0</v>
      </c>
      <c r="M19" s="13">
        <f>$Q$18</f>
        <v>1942.4</v>
      </c>
      <c r="N19" s="13">
        <f>ROUND(IF($M$19&lt;=0,0,$M$19*RewardsVisaAPR/12),2)</f>
        <v>39.64</v>
      </c>
      <c r="O19" s="13">
        <f>ROUND(IF($M$19&lt;=0,0,MIN(RewardsVisaMinPayment,$M$19+$N$19)),2)</f>
        <v>164.0</v>
      </c>
      <c r="P19" s="13">
        <f>ROUND(IF($M$19&lt;=0,0,MIN(MAX(0,$M$19+$N$19-$O$19),MAX(0,$AB$19-$F$19-$K$19))),2)</f>
        <v>312.0</v>
      </c>
      <c r="Q19" s="13">
        <f>ROUND(MAX(0,$M$19+$N$19-$O$19-$P$19),2)</f>
        <v>1506.04</v>
      </c>
      <c r="R19" s="13">
        <f>$V$18</f>
        <v>2761.51</v>
      </c>
      <c r="S19" s="13">
        <f>ROUND(IF($R$19&lt;=0,0,$R$19*CreditUnionCardAPR/12),2)</f>
        <v>41.19</v>
      </c>
      <c r="T19" s="13">
        <f>ROUND(IF($R$19&lt;=0,0,MIN(CreditUnionCardMinPayment,$R$19+$S$19)),2)</f>
        <v>108.0</v>
      </c>
      <c r="U19" s="13">
        <f>ROUND(IF($R$19&lt;=0,0,MIN(MAX(0,$R$19+$S$19-$T$19),MAX(0,$AB$19-$F$19-$K$19-$P$19))),2)</f>
        <v>0.0</v>
      </c>
      <c r="V19" s="13">
        <f>ROUND(MAX(0,$R$19+$S$19-$T$19-$U$19),2)</f>
        <v>2694.7</v>
      </c>
      <c r="W19" s="13">
        <f>$AA$18</f>
        <v>6039.16</v>
      </c>
      <c r="X19" s="13">
        <f>ROUND(IF($W$19&lt;=0,0,$W$19*PersonalLoanAPR/12),2)</f>
        <v>51.58</v>
      </c>
      <c r="Y19" s="13">
        <f>ROUND(IF($W$19&lt;=0,0,MIN(PersonalLoanMinPayment,$W$19+$X$19)),2)</f>
        <v>216.0</v>
      </c>
      <c r="Z19" s="13">
        <f>ROUND(IF($W$19&lt;=0,0,MIN(MAX(0,$W$19+$X$19-$Y$19),MAX(0,$AB$19-$F$19-$K$19-$P$19-$U$19))),2)</f>
        <v>0.0</v>
      </c>
      <c r="AA19" s="13">
        <f>ROUND(MAX(0,$W$19+$X$19-$Y$19-$Z$19),2)</f>
        <v>5874.74</v>
      </c>
      <c r="AB19" s="13">
        <f>ROUND(ExtraPayment+IF($G$18&lt;=0,MedicalPlanMinPayment,0)+IF($L$18&lt;=0,StoreCardMinPayment,0)+IF($Q$18&lt;=0,RewardsVisaMinPayment,0)+IF($V$18&lt;=0,CreditUnionCardMinPayment,0)+IF($AA$18&lt;=0,PersonalLoanMinPayment,0),2)</f>
        <v>312.0</v>
      </c>
      <c r="AC19" s="13">
        <f>ROUND(SUM($D$19,$I$19,$N$19,$S$19,$X$19),2)</f>
        <v>132.41</v>
      </c>
      <c r="AD19" s="13">
        <f>ROUND(SUM($G$19,$L$19,$Q$19,$V$19,$AA$19),2)</f>
        <v>10075.48</v>
      </c>
    </row>
    <row r="20" spans="1:30">
      <c r="A20" s="17">
        <f>ROW()-3</f>
        <v>16</v>
      </c>
      <c r="B20" s="18" t="str">
        <f>TEXT(EDATE(StartDate,A20-1),"mmm yyyy")</f>
        <v>Jul 2027</v>
      </c>
      <c r="C20" s="13">
        <f>$G$19</f>
        <v>0.0</v>
      </c>
      <c r="D20" s="13">
        <f>ROUND(IF($C$20&lt;=0,0,$C$20*MedicalPlanAPR/12),2)</f>
        <v>0.0</v>
      </c>
      <c r="E20" s="13">
        <f>ROUND(IF($C$20&lt;=0,0,MIN(MedicalPlanMinPayment,$C$20+$D$20)),2)</f>
        <v>0.0</v>
      </c>
      <c r="F20" s="13">
        <f>ROUND(IF($C$20&lt;=0,0,MIN(MAX(0,$C$20+$D$20-$E$20),$AB$20)),2)</f>
        <v>0.0</v>
      </c>
      <c r="G20" s="13">
        <f>ROUND(MAX(0,$C$20+$D$20-$E$20-$F$20),2)</f>
        <v>0.0</v>
      </c>
      <c r="H20" s="13">
        <f>$L$19</f>
        <v>0.0</v>
      </c>
      <c r="I20" s="13">
        <f>ROUND(IF($H$20&lt;=0,0,$H$20*StoreCardAPR/12),2)</f>
        <v>0.0</v>
      </c>
      <c r="J20" s="13">
        <f>ROUND(IF($H$20&lt;=0,0,MIN(StoreCardMinPayment,$H$20+$I$20)),2)</f>
        <v>0.0</v>
      </c>
      <c r="K20" s="13">
        <f>ROUND(IF($H$20&lt;=0,0,MIN(MAX(0,$H$20+$I$20-$J$20),MAX(0,$AB$20-$F$20))),2)</f>
        <v>0.0</v>
      </c>
      <c r="L20" s="13">
        <f>ROUND(MAX(0,$H$20+$I$20-$J$20-$K$20),2)</f>
        <v>0.0</v>
      </c>
      <c r="M20" s="13">
        <f>$Q$19</f>
        <v>1506.04</v>
      </c>
      <c r="N20" s="13">
        <f>ROUND(IF($M$20&lt;=0,0,$M$20*RewardsVisaAPR/12),2)</f>
        <v>30.74</v>
      </c>
      <c r="O20" s="13">
        <f>ROUND(IF($M$20&lt;=0,0,MIN(RewardsVisaMinPayment,$M$20+$N$20)),2)</f>
        <v>164.0</v>
      </c>
      <c r="P20" s="13">
        <f>ROUND(IF($M$20&lt;=0,0,MIN(MAX(0,$M$20+$N$20-$O$20),MAX(0,$AB$20-$F$20-$K$20))),2)</f>
        <v>312.0</v>
      </c>
      <c r="Q20" s="13">
        <f>ROUND(MAX(0,$M$20+$N$20-$O$20-$P$20),2)</f>
        <v>1060.78</v>
      </c>
      <c r="R20" s="13">
        <f>$V$19</f>
        <v>2694.7</v>
      </c>
      <c r="S20" s="13">
        <f>ROUND(IF($R$20&lt;=0,0,$R$20*CreditUnionCardAPR/12),2)</f>
        <v>40.2</v>
      </c>
      <c r="T20" s="13">
        <f>ROUND(IF($R$20&lt;=0,0,MIN(CreditUnionCardMinPayment,$R$20+$S$20)),2)</f>
        <v>108.0</v>
      </c>
      <c r="U20" s="13">
        <f>ROUND(IF($R$20&lt;=0,0,MIN(MAX(0,$R$20+$S$20-$T$20),MAX(0,$AB$20-$F$20-$K$20-$P$20))),2)</f>
        <v>0.0</v>
      </c>
      <c r="V20" s="13">
        <f>ROUND(MAX(0,$R$20+$S$20-$T$20-$U$20),2)</f>
        <v>2626.9</v>
      </c>
      <c r="W20" s="13">
        <f>$AA$19</f>
        <v>5874.74</v>
      </c>
      <c r="X20" s="13">
        <f>ROUND(IF($W$20&lt;=0,0,$W$20*PersonalLoanAPR/12),2)</f>
        <v>50.18</v>
      </c>
      <c r="Y20" s="13">
        <f>ROUND(IF($W$20&lt;=0,0,MIN(PersonalLoanMinPayment,$W$20+$X$20)),2)</f>
        <v>216.0</v>
      </c>
      <c r="Z20" s="13">
        <f>ROUND(IF($W$20&lt;=0,0,MIN(MAX(0,$W$20+$X$20-$Y$20),MAX(0,$AB$20-$F$20-$K$20-$P$20-$U$20))),2)</f>
        <v>0.0</v>
      </c>
      <c r="AA20" s="13">
        <f>ROUND(MAX(0,$W$20+$X$20-$Y$20-$Z$20),2)</f>
        <v>5708.92</v>
      </c>
      <c r="AB20" s="13">
        <f>ROUND(ExtraPayment+IF($G$19&lt;=0,MedicalPlanMinPayment,0)+IF($L$19&lt;=0,StoreCardMinPayment,0)+IF($Q$19&lt;=0,RewardsVisaMinPayment,0)+IF($V$19&lt;=0,CreditUnionCardMinPayment,0)+IF($AA$19&lt;=0,PersonalLoanMinPayment,0),2)</f>
        <v>312.0</v>
      </c>
      <c r="AC20" s="13">
        <f>ROUND(SUM($D$20,$I$20,$N$20,$S$20,$X$20),2)</f>
        <v>121.12</v>
      </c>
      <c r="AD20" s="13">
        <f>ROUND(SUM($G$20,$L$20,$Q$20,$V$20,$AA$20),2)</f>
        <v>9396.6</v>
      </c>
    </row>
    <row r="21" spans="1:30">
      <c r="A21" s="17">
        <f>ROW()-3</f>
        <v>17</v>
      </c>
      <c r="B21" s="18" t="str">
        <f>TEXT(EDATE(StartDate,A21-1),"mmm yyyy")</f>
        <v>Aug 2027</v>
      </c>
      <c r="C21" s="13">
        <f>$G$20</f>
        <v>0.0</v>
      </c>
      <c r="D21" s="13">
        <f>ROUND(IF($C$21&lt;=0,0,$C$21*MedicalPlanAPR/12),2)</f>
        <v>0.0</v>
      </c>
      <c r="E21" s="13">
        <f>ROUND(IF($C$21&lt;=0,0,MIN(MedicalPlanMinPayment,$C$21+$D$21)),2)</f>
        <v>0.0</v>
      </c>
      <c r="F21" s="13">
        <f>ROUND(IF($C$21&lt;=0,0,MIN(MAX(0,$C$21+$D$21-$E$21),$AB$21)),2)</f>
        <v>0.0</v>
      </c>
      <c r="G21" s="13">
        <f>ROUND(MAX(0,$C$21+$D$21-$E$21-$F$21),2)</f>
        <v>0.0</v>
      </c>
      <c r="H21" s="13">
        <f>$L$20</f>
        <v>0.0</v>
      </c>
      <c r="I21" s="13">
        <f>ROUND(IF($H$21&lt;=0,0,$H$21*StoreCardAPR/12),2)</f>
        <v>0.0</v>
      </c>
      <c r="J21" s="13">
        <f>ROUND(IF($H$21&lt;=0,0,MIN(StoreCardMinPayment,$H$21+$I$21)),2)</f>
        <v>0.0</v>
      </c>
      <c r="K21" s="13">
        <f>ROUND(IF($H$21&lt;=0,0,MIN(MAX(0,$H$21+$I$21-$J$21),MAX(0,$AB$21-$F$21))),2)</f>
        <v>0.0</v>
      </c>
      <c r="L21" s="13">
        <f>ROUND(MAX(0,$H$21+$I$21-$J$21-$K$21),2)</f>
        <v>0.0</v>
      </c>
      <c r="M21" s="13">
        <f>$Q$20</f>
        <v>1060.78</v>
      </c>
      <c r="N21" s="13">
        <f>ROUND(IF($M$21&lt;=0,0,$M$21*RewardsVisaAPR/12),2)</f>
        <v>21.65</v>
      </c>
      <c r="O21" s="13">
        <f>ROUND(IF($M$21&lt;=0,0,MIN(RewardsVisaMinPayment,$M$21+$N$21)),2)</f>
        <v>164.0</v>
      </c>
      <c r="P21" s="13">
        <f>ROUND(IF($M$21&lt;=0,0,MIN(MAX(0,$M$21+$N$21-$O$21),MAX(0,$AB$21-$F$21-$K$21))),2)</f>
        <v>312.0</v>
      </c>
      <c r="Q21" s="13">
        <f>ROUND(MAX(0,$M$21+$N$21-$O$21-$P$21),2)</f>
        <v>606.43</v>
      </c>
      <c r="R21" s="13">
        <f>$V$20</f>
        <v>2626.9</v>
      </c>
      <c r="S21" s="13">
        <f>ROUND(IF($R$21&lt;=0,0,$R$21*CreditUnionCardAPR/12),2)</f>
        <v>39.18</v>
      </c>
      <c r="T21" s="13">
        <f>ROUND(IF($R$21&lt;=0,0,MIN(CreditUnionCardMinPayment,$R$21+$S$21)),2)</f>
        <v>108.0</v>
      </c>
      <c r="U21" s="13">
        <f>ROUND(IF($R$21&lt;=0,0,MIN(MAX(0,$R$21+$S$21-$T$21),MAX(0,$AB$21-$F$21-$K$21-$P$21))),2)</f>
        <v>0.0</v>
      </c>
      <c r="V21" s="13">
        <f>ROUND(MAX(0,$R$21+$S$21-$T$21-$U$21),2)</f>
        <v>2558.08</v>
      </c>
      <c r="W21" s="13">
        <f>$AA$20</f>
        <v>5708.92</v>
      </c>
      <c r="X21" s="13">
        <f>ROUND(IF($W$21&lt;=0,0,$W$21*PersonalLoanAPR/12),2)</f>
        <v>48.76</v>
      </c>
      <c r="Y21" s="13">
        <f>ROUND(IF($W$21&lt;=0,0,MIN(PersonalLoanMinPayment,$W$21+$X$21)),2)</f>
        <v>216.0</v>
      </c>
      <c r="Z21" s="13">
        <f>ROUND(IF($W$21&lt;=0,0,MIN(MAX(0,$W$21+$X$21-$Y$21),MAX(0,$AB$21-$F$21-$K$21-$P$21-$U$21))),2)</f>
        <v>0.0</v>
      </c>
      <c r="AA21" s="13">
        <f>ROUND(MAX(0,$W$21+$X$21-$Y$21-$Z$21),2)</f>
        <v>5541.68</v>
      </c>
      <c r="AB21" s="13">
        <f>ROUND(ExtraPayment+IF($G$20&lt;=0,MedicalPlanMinPayment,0)+IF($L$20&lt;=0,StoreCardMinPayment,0)+IF($Q$20&lt;=0,RewardsVisaMinPayment,0)+IF($V$20&lt;=0,CreditUnionCardMinPayment,0)+IF($AA$20&lt;=0,PersonalLoanMinPayment,0),2)</f>
        <v>312.0</v>
      </c>
      <c r="AC21" s="13">
        <f>ROUND(SUM($D$21,$I$21,$N$21,$S$21,$X$21),2)</f>
        <v>109.59</v>
      </c>
      <c r="AD21" s="13">
        <f>ROUND(SUM($G$21,$L$21,$Q$21,$V$21,$AA$21),2)</f>
        <v>8706.19</v>
      </c>
    </row>
    <row r="22" spans="1:30">
      <c r="A22" s="17">
        <f>ROW()-3</f>
        <v>18</v>
      </c>
      <c r="B22" s="18" t="str">
        <f>TEXT(EDATE(StartDate,A22-1),"mmm yyyy")</f>
        <v>Sep 2027</v>
      </c>
      <c r="C22" s="13">
        <f>$G$21</f>
        <v>0.0</v>
      </c>
      <c r="D22" s="13">
        <f>ROUND(IF($C$22&lt;=0,0,$C$22*MedicalPlanAPR/12),2)</f>
        <v>0.0</v>
      </c>
      <c r="E22" s="13">
        <f>ROUND(IF($C$22&lt;=0,0,MIN(MedicalPlanMinPayment,$C$22+$D$22)),2)</f>
        <v>0.0</v>
      </c>
      <c r="F22" s="13">
        <f>ROUND(IF($C$22&lt;=0,0,MIN(MAX(0,$C$22+$D$22-$E$22),$AB$22)),2)</f>
        <v>0.0</v>
      </c>
      <c r="G22" s="13">
        <f>ROUND(MAX(0,$C$22+$D$22-$E$22-$F$22),2)</f>
        <v>0.0</v>
      </c>
      <c r="H22" s="13">
        <f>$L$21</f>
        <v>0.0</v>
      </c>
      <c r="I22" s="13">
        <f>ROUND(IF($H$22&lt;=0,0,$H$22*StoreCardAPR/12),2)</f>
        <v>0.0</v>
      </c>
      <c r="J22" s="13">
        <f>ROUND(IF($H$22&lt;=0,0,MIN(StoreCardMinPayment,$H$22+$I$22)),2)</f>
        <v>0.0</v>
      </c>
      <c r="K22" s="13">
        <f>ROUND(IF($H$22&lt;=0,0,MIN(MAX(0,$H$22+$I$22-$J$22),MAX(0,$AB$22-$F$22))),2)</f>
        <v>0.0</v>
      </c>
      <c r="L22" s="13">
        <f>ROUND(MAX(0,$H$22+$I$22-$J$22-$K$22),2)</f>
        <v>0.0</v>
      </c>
      <c r="M22" s="13">
        <f>$Q$21</f>
        <v>606.43</v>
      </c>
      <c r="N22" s="13">
        <f>ROUND(IF($M$22&lt;=0,0,$M$22*RewardsVisaAPR/12),2)</f>
        <v>12.38</v>
      </c>
      <c r="O22" s="13">
        <f>ROUND(IF($M$22&lt;=0,0,MIN(RewardsVisaMinPayment,$M$22+$N$22)),2)</f>
        <v>164.0</v>
      </c>
      <c r="P22" s="13">
        <f>ROUND(IF($M$22&lt;=0,0,MIN(MAX(0,$M$22+$N$22-$O$22),MAX(0,$AB$22-$F$22-$K$22))),2)</f>
        <v>312.0</v>
      </c>
      <c r="Q22" s="13">
        <f>ROUND(MAX(0,$M$22+$N$22-$O$22-$P$22),2)</f>
        <v>142.81</v>
      </c>
      <c r="R22" s="13">
        <f>$V$21</f>
        <v>2558.08</v>
      </c>
      <c r="S22" s="13">
        <f>ROUND(IF($R$22&lt;=0,0,$R$22*CreditUnionCardAPR/12),2)</f>
        <v>38.16</v>
      </c>
      <c r="T22" s="13">
        <f>ROUND(IF($R$22&lt;=0,0,MIN(CreditUnionCardMinPayment,$R$22+$S$22)),2)</f>
        <v>108.0</v>
      </c>
      <c r="U22" s="13">
        <f>ROUND(IF($R$22&lt;=0,0,MIN(MAX(0,$R$22+$S$22-$T$22),MAX(0,$AB$22-$F$22-$K$22-$P$22))),2)</f>
        <v>0.0</v>
      </c>
      <c r="V22" s="13">
        <f>ROUND(MAX(0,$R$22+$S$22-$T$22-$U$22),2)</f>
        <v>2488.24</v>
      </c>
      <c r="W22" s="13">
        <f>$AA$21</f>
        <v>5541.68</v>
      </c>
      <c r="X22" s="13">
        <f>ROUND(IF($W$22&lt;=0,0,$W$22*PersonalLoanAPR/12),2)</f>
        <v>47.34</v>
      </c>
      <c r="Y22" s="13">
        <f>ROUND(IF($W$22&lt;=0,0,MIN(PersonalLoanMinPayment,$W$22+$X$22)),2)</f>
        <v>216.0</v>
      </c>
      <c r="Z22" s="13">
        <f>ROUND(IF($W$22&lt;=0,0,MIN(MAX(0,$W$22+$X$22-$Y$22),MAX(0,$AB$22-$F$22-$K$22-$P$22-$U$22))),2)</f>
        <v>0.0</v>
      </c>
      <c r="AA22" s="13">
        <f>ROUND(MAX(0,$W$22+$X$22-$Y$22-$Z$22),2)</f>
        <v>5373.02</v>
      </c>
      <c r="AB22" s="13">
        <f>ROUND(ExtraPayment+IF($G$21&lt;=0,MedicalPlanMinPayment,0)+IF($L$21&lt;=0,StoreCardMinPayment,0)+IF($Q$21&lt;=0,RewardsVisaMinPayment,0)+IF($V$21&lt;=0,CreditUnionCardMinPayment,0)+IF($AA$21&lt;=0,PersonalLoanMinPayment,0),2)</f>
        <v>312.0</v>
      </c>
      <c r="AC22" s="13">
        <f>ROUND(SUM($D$22,$I$22,$N$22,$S$22,$X$22),2)</f>
        <v>97.88</v>
      </c>
      <c r="AD22" s="13">
        <f>ROUND(SUM($G$22,$L$22,$Q$22,$V$22,$AA$22),2)</f>
        <v>8004.07</v>
      </c>
    </row>
    <row r="23" spans="1:30">
      <c r="A23" s="17">
        <f>ROW()-3</f>
        <v>19</v>
      </c>
      <c r="B23" s="18" t="str">
        <f>TEXT(EDATE(StartDate,A23-1),"mmm yyyy")</f>
        <v>Oct 2027</v>
      </c>
      <c r="C23" s="13">
        <f>$G$22</f>
        <v>0.0</v>
      </c>
      <c r="D23" s="13">
        <f>ROUND(IF($C$23&lt;=0,0,$C$23*MedicalPlanAPR/12),2)</f>
        <v>0.0</v>
      </c>
      <c r="E23" s="13">
        <f>ROUND(IF($C$23&lt;=0,0,MIN(MedicalPlanMinPayment,$C$23+$D$23)),2)</f>
        <v>0.0</v>
      </c>
      <c r="F23" s="13">
        <f>ROUND(IF($C$23&lt;=0,0,MIN(MAX(0,$C$23+$D$23-$E$23),$AB$23)),2)</f>
        <v>0.0</v>
      </c>
      <c r="G23" s="13">
        <f>ROUND(MAX(0,$C$23+$D$23-$E$23-$F$23),2)</f>
        <v>0.0</v>
      </c>
      <c r="H23" s="13">
        <f>$L$22</f>
        <v>0.0</v>
      </c>
      <c r="I23" s="13">
        <f>ROUND(IF($H$23&lt;=0,0,$H$23*StoreCardAPR/12),2)</f>
        <v>0.0</v>
      </c>
      <c r="J23" s="13">
        <f>ROUND(IF($H$23&lt;=0,0,MIN(StoreCardMinPayment,$H$23+$I$23)),2)</f>
        <v>0.0</v>
      </c>
      <c r="K23" s="13">
        <f>ROUND(IF($H$23&lt;=0,0,MIN(MAX(0,$H$23+$I$23-$J$23),MAX(0,$AB$23-$F$23))),2)</f>
        <v>0.0</v>
      </c>
      <c r="L23" s="13">
        <f>ROUND(MAX(0,$H$23+$I$23-$J$23-$K$23),2)</f>
        <v>0.0</v>
      </c>
      <c r="M23" s="13">
        <f>$Q$22</f>
        <v>142.81</v>
      </c>
      <c r="N23" s="13">
        <f>ROUND(IF($M$23&lt;=0,0,$M$23*RewardsVisaAPR/12),2)</f>
        <v>2.91</v>
      </c>
      <c r="O23" s="13">
        <f>ROUND(IF($M$23&lt;=0,0,MIN(RewardsVisaMinPayment,$M$23+$N$23)),2)</f>
        <v>145.72</v>
      </c>
      <c r="P23" s="13">
        <f>ROUND(IF($M$23&lt;=0,0,MIN(MAX(0,$M$23+$N$23-$O$23),MAX(0,$AB$23-$F$23-$K$23))),2)</f>
        <v>0.0</v>
      </c>
      <c r="Q23" s="13">
        <f>ROUND(MAX(0,$M$23+$N$23-$O$23-$P$23),2)</f>
        <v>0.0</v>
      </c>
      <c r="R23" s="13">
        <f>$V$22</f>
        <v>2488.24</v>
      </c>
      <c r="S23" s="13">
        <f>ROUND(IF($R$23&lt;=0,0,$R$23*CreditUnionCardAPR/12),2)</f>
        <v>37.12</v>
      </c>
      <c r="T23" s="13">
        <f>ROUND(IF($R$23&lt;=0,0,MIN(CreditUnionCardMinPayment,$R$23+$S$23)),2)</f>
        <v>108.0</v>
      </c>
      <c r="U23" s="13">
        <f>ROUND(IF($R$23&lt;=0,0,MIN(MAX(0,$R$23+$S$23-$T$23),MAX(0,$AB$23-$F$23-$K$23-$P$23))),2)</f>
        <v>312.0</v>
      </c>
      <c r="V23" s="13">
        <f>ROUND(MAX(0,$R$23+$S$23-$T$23-$U$23),2)</f>
        <v>2105.36</v>
      </c>
      <c r="W23" s="13">
        <f>$AA$22</f>
        <v>5373.02</v>
      </c>
      <c r="X23" s="13">
        <f>ROUND(IF($W$23&lt;=0,0,$W$23*PersonalLoanAPR/12),2)</f>
        <v>45.89</v>
      </c>
      <c r="Y23" s="13">
        <f>ROUND(IF($W$23&lt;=0,0,MIN(PersonalLoanMinPayment,$W$23+$X$23)),2)</f>
        <v>216.0</v>
      </c>
      <c r="Z23" s="13">
        <f>ROUND(IF($W$23&lt;=0,0,MIN(MAX(0,$W$23+$X$23-$Y$23),MAX(0,$AB$23-$F$23-$K$23-$P$23-$U$23))),2)</f>
        <v>0.0</v>
      </c>
      <c r="AA23" s="13">
        <f>ROUND(MAX(0,$W$23+$X$23-$Y$23-$Z$23),2)</f>
        <v>5202.91</v>
      </c>
      <c r="AB23" s="13">
        <f>ROUND(ExtraPayment+IF($G$22&lt;=0,MedicalPlanMinPayment,0)+IF($L$22&lt;=0,StoreCardMinPayment,0)+IF($Q$22&lt;=0,RewardsVisaMinPayment,0)+IF($V$22&lt;=0,CreditUnionCardMinPayment,0)+IF($AA$22&lt;=0,PersonalLoanMinPayment,0),2)</f>
        <v>312.0</v>
      </c>
      <c r="AC23" s="13">
        <f>ROUND(SUM($D$23,$I$23,$N$23,$S$23,$X$23),2)</f>
        <v>85.92</v>
      </c>
      <c r="AD23" s="13">
        <f>ROUND(SUM($G$23,$L$23,$Q$23,$V$23,$AA$23),2)</f>
        <v>7308.27</v>
      </c>
    </row>
    <row r="24" spans="1:30">
      <c r="A24" s="17">
        <f>ROW()-3</f>
        <v>20</v>
      </c>
      <c r="B24" s="18" t="str">
        <f>TEXT(EDATE(StartDate,A24-1),"mmm yyyy")</f>
        <v>Nov 2027</v>
      </c>
      <c r="C24" s="13">
        <f>$G$23</f>
        <v>0.0</v>
      </c>
      <c r="D24" s="13">
        <f>ROUND(IF($C$24&lt;=0,0,$C$24*MedicalPlanAPR/12),2)</f>
        <v>0.0</v>
      </c>
      <c r="E24" s="13">
        <f>ROUND(IF($C$24&lt;=0,0,MIN(MedicalPlanMinPayment,$C$24+$D$24)),2)</f>
        <v>0.0</v>
      </c>
      <c r="F24" s="13">
        <f>ROUND(IF($C$24&lt;=0,0,MIN(MAX(0,$C$24+$D$24-$E$24),$AB$24)),2)</f>
        <v>0.0</v>
      </c>
      <c r="G24" s="13">
        <f>ROUND(MAX(0,$C$24+$D$24-$E$24-$F$24),2)</f>
        <v>0.0</v>
      </c>
      <c r="H24" s="13">
        <f>$L$23</f>
        <v>0.0</v>
      </c>
      <c r="I24" s="13">
        <f>ROUND(IF($H$24&lt;=0,0,$H$24*StoreCardAPR/12),2)</f>
        <v>0.0</v>
      </c>
      <c r="J24" s="13">
        <f>ROUND(IF($H$24&lt;=0,0,MIN(StoreCardMinPayment,$H$24+$I$24)),2)</f>
        <v>0.0</v>
      </c>
      <c r="K24" s="13">
        <f>ROUND(IF($H$24&lt;=0,0,MIN(MAX(0,$H$24+$I$24-$J$24),MAX(0,$AB$24-$F$24))),2)</f>
        <v>0.0</v>
      </c>
      <c r="L24" s="13">
        <f>ROUND(MAX(0,$H$24+$I$24-$J$24-$K$24),2)</f>
        <v>0.0</v>
      </c>
      <c r="M24" s="13">
        <f>$Q$23</f>
        <v>0.0</v>
      </c>
      <c r="N24" s="13">
        <f>ROUND(IF($M$24&lt;=0,0,$M$24*RewardsVisaAPR/12),2)</f>
        <v>0.0</v>
      </c>
      <c r="O24" s="13">
        <f>ROUND(IF($M$24&lt;=0,0,MIN(RewardsVisaMinPayment,$M$24+$N$24)),2)</f>
        <v>0.0</v>
      </c>
      <c r="P24" s="13">
        <f>ROUND(IF($M$24&lt;=0,0,MIN(MAX(0,$M$24+$N$24-$O$24),MAX(0,$AB$24-$F$24-$K$24))),2)</f>
        <v>0.0</v>
      </c>
      <c r="Q24" s="13">
        <f>ROUND(MAX(0,$M$24+$N$24-$O$24-$P$24),2)</f>
        <v>0.0</v>
      </c>
      <c r="R24" s="13">
        <f>$V$23</f>
        <v>2105.36</v>
      </c>
      <c r="S24" s="13">
        <f>ROUND(IF($R$24&lt;=0,0,$R$24*CreditUnionCardAPR/12),2)</f>
        <v>31.4</v>
      </c>
      <c r="T24" s="13">
        <f>ROUND(IF($R$24&lt;=0,0,MIN(CreditUnionCardMinPayment,$R$24+$S$24)),2)</f>
        <v>108.0</v>
      </c>
      <c r="U24" s="13">
        <f>ROUND(IF($R$24&lt;=0,0,MIN(MAX(0,$R$24+$S$24-$T$24),MAX(0,$AB$24-$F$24-$K$24-$P$24))),2)</f>
        <v>476.0</v>
      </c>
      <c r="V24" s="13">
        <f>ROUND(MAX(0,$R$24+$S$24-$T$24-$U$24),2)</f>
        <v>1552.76</v>
      </c>
      <c r="W24" s="13">
        <f>$AA$23</f>
        <v>5202.91</v>
      </c>
      <c r="X24" s="13">
        <f>ROUND(IF($W$24&lt;=0,0,$W$24*PersonalLoanAPR/12),2)</f>
        <v>44.44</v>
      </c>
      <c r="Y24" s="13">
        <f>ROUND(IF($W$24&lt;=0,0,MIN(PersonalLoanMinPayment,$W$24+$X$24)),2)</f>
        <v>216.0</v>
      </c>
      <c r="Z24" s="13">
        <f>ROUND(IF($W$24&lt;=0,0,MIN(MAX(0,$W$24+$X$24-$Y$24),MAX(0,$AB$24-$F$24-$K$24-$P$24-$U$24))),2)</f>
        <v>0.0</v>
      </c>
      <c r="AA24" s="13">
        <f>ROUND(MAX(0,$W$24+$X$24-$Y$24-$Z$24),2)</f>
        <v>5031.35</v>
      </c>
      <c r="AB24" s="13">
        <f>ROUND(ExtraPayment+IF($G$23&lt;=0,MedicalPlanMinPayment,0)+IF($L$23&lt;=0,StoreCardMinPayment,0)+IF($Q$23&lt;=0,RewardsVisaMinPayment,0)+IF($V$23&lt;=0,CreditUnionCardMinPayment,0)+IF($AA$23&lt;=0,PersonalLoanMinPayment,0),2)</f>
        <v>476.0</v>
      </c>
      <c r="AC24" s="13">
        <f>ROUND(SUM($D$24,$I$24,$N$24,$S$24,$X$24),2)</f>
        <v>75.84</v>
      </c>
      <c r="AD24" s="13">
        <f>ROUND(SUM($G$24,$L$24,$Q$24,$V$24,$AA$24),2)</f>
        <v>6584.11</v>
      </c>
    </row>
    <row r="25" spans="1:30">
      <c r="A25" s="17">
        <f>ROW()-3</f>
        <v>21</v>
      </c>
      <c r="B25" s="18" t="str">
        <f>TEXT(EDATE(StartDate,A25-1),"mmm yyyy")</f>
        <v>Dec 2027</v>
      </c>
      <c r="C25" s="13">
        <f>$G$24</f>
        <v>0.0</v>
      </c>
      <c r="D25" s="13">
        <f>ROUND(IF($C$25&lt;=0,0,$C$25*MedicalPlanAPR/12),2)</f>
        <v>0.0</v>
      </c>
      <c r="E25" s="13">
        <f>ROUND(IF($C$25&lt;=0,0,MIN(MedicalPlanMinPayment,$C$25+$D$25)),2)</f>
        <v>0.0</v>
      </c>
      <c r="F25" s="13">
        <f>ROUND(IF($C$25&lt;=0,0,MIN(MAX(0,$C$25+$D$25-$E$25),$AB$25)),2)</f>
        <v>0.0</v>
      </c>
      <c r="G25" s="13">
        <f>ROUND(MAX(0,$C$25+$D$25-$E$25-$F$25),2)</f>
        <v>0.0</v>
      </c>
      <c r="H25" s="13">
        <f>$L$24</f>
        <v>0.0</v>
      </c>
      <c r="I25" s="13">
        <f>ROUND(IF($H$25&lt;=0,0,$H$25*StoreCardAPR/12),2)</f>
        <v>0.0</v>
      </c>
      <c r="J25" s="13">
        <f>ROUND(IF($H$25&lt;=0,0,MIN(StoreCardMinPayment,$H$25+$I$25)),2)</f>
        <v>0.0</v>
      </c>
      <c r="K25" s="13">
        <f>ROUND(IF($H$25&lt;=0,0,MIN(MAX(0,$H$25+$I$25-$J$25),MAX(0,$AB$25-$F$25))),2)</f>
        <v>0.0</v>
      </c>
      <c r="L25" s="13">
        <f>ROUND(MAX(0,$H$25+$I$25-$J$25-$K$25),2)</f>
        <v>0.0</v>
      </c>
      <c r="M25" s="13">
        <f>$Q$24</f>
        <v>0.0</v>
      </c>
      <c r="N25" s="13">
        <f>ROUND(IF($M$25&lt;=0,0,$M$25*RewardsVisaAPR/12),2)</f>
        <v>0.0</v>
      </c>
      <c r="O25" s="13">
        <f>ROUND(IF($M$25&lt;=0,0,MIN(RewardsVisaMinPayment,$M$25+$N$25)),2)</f>
        <v>0.0</v>
      </c>
      <c r="P25" s="13">
        <f>ROUND(IF($M$25&lt;=0,0,MIN(MAX(0,$M$25+$N$25-$O$25),MAX(0,$AB$25-$F$25-$K$25))),2)</f>
        <v>0.0</v>
      </c>
      <c r="Q25" s="13">
        <f>ROUND(MAX(0,$M$25+$N$25-$O$25-$P$25),2)</f>
        <v>0.0</v>
      </c>
      <c r="R25" s="13">
        <f>$V$24</f>
        <v>1552.76</v>
      </c>
      <c r="S25" s="13">
        <f>ROUND(IF($R$25&lt;=0,0,$R$25*CreditUnionCardAPR/12),2)</f>
        <v>23.16</v>
      </c>
      <c r="T25" s="13">
        <f>ROUND(IF($R$25&lt;=0,0,MIN(CreditUnionCardMinPayment,$R$25+$S$25)),2)</f>
        <v>108.0</v>
      </c>
      <c r="U25" s="13">
        <f>ROUND(IF($R$25&lt;=0,0,MIN(MAX(0,$R$25+$S$25-$T$25),MAX(0,$AB$25-$F$25-$K$25-$P$25))),2)</f>
        <v>476.0</v>
      </c>
      <c r="V25" s="13">
        <f>ROUND(MAX(0,$R$25+$S$25-$T$25-$U$25),2)</f>
        <v>991.92</v>
      </c>
      <c r="W25" s="13">
        <f>$AA$24</f>
        <v>5031.35</v>
      </c>
      <c r="X25" s="13">
        <f>ROUND(IF($W$25&lt;=0,0,$W$25*PersonalLoanAPR/12),2)</f>
        <v>42.98</v>
      </c>
      <c r="Y25" s="13">
        <f>ROUND(IF($W$25&lt;=0,0,MIN(PersonalLoanMinPayment,$W$25+$X$25)),2)</f>
        <v>216.0</v>
      </c>
      <c r="Z25" s="13">
        <f>ROUND(IF($W$25&lt;=0,0,MIN(MAX(0,$W$25+$X$25-$Y$25),MAX(0,$AB$25-$F$25-$K$25-$P$25-$U$25))),2)</f>
        <v>0.0</v>
      </c>
      <c r="AA25" s="13">
        <f>ROUND(MAX(0,$W$25+$X$25-$Y$25-$Z$25),2)</f>
        <v>4858.33</v>
      </c>
      <c r="AB25" s="13">
        <f>ROUND(ExtraPayment+IF($G$24&lt;=0,MedicalPlanMinPayment,0)+IF($L$24&lt;=0,StoreCardMinPayment,0)+IF($Q$24&lt;=0,RewardsVisaMinPayment,0)+IF($V$24&lt;=0,CreditUnionCardMinPayment,0)+IF($AA$24&lt;=0,PersonalLoanMinPayment,0),2)</f>
        <v>476.0</v>
      </c>
      <c r="AC25" s="13">
        <f>ROUND(SUM($D$25,$I$25,$N$25,$S$25,$X$25),2)</f>
        <v>66.14</v>
      </c>
      <c r="AD25" s="13">
        <f>ROUND(SUM($G$25,$L$25,$Q$25,$V$25,$AA$25),2)</f>
        <v>5850.25</v>
      </c>
    </row>
    <row r="26" spans="1:30">
      <c r="A26" s="17">
        <f>ROW()-3</f>
        <v>22</v>
      </c>
      <c r="B26" s="18" t="str">
        <f>TEXT(EDATE(StartDate,A26-1),"mmm yyyy")</f>
        <v>Jan 2028</v>
      </c>
      <c r="C26" s="13">
        <f>$G$25</f>
        <v>0.0</v>
      </c>
      <c r="D26" s="13">
        <f>ROUND(IF($C$26&lt;=0,0,$C$26*MedicalPlanAPR/12),2)</f>
        <v>0.0</v>
      </c>
      <c r="E26" s="13">
        <f>ROUND(IF($C$26&lt;=0,0,MIN(MedicalPlanMinPayment,$C$26+$D$26)),2)</f>
        <v>0.0</v>
      </c>
      <c r="F26" s="13">
        <f>ROUND(IF($C$26&lt;=0,0,MIN(MAX(0,$C$26+$D$26-$E$26),$AB$26)),2)</f>
        <v>0.0</v>
      </c>
      <c r="G26" s="13">
        <f>ROUND(MAX(0,$C$26+$D$26-$E$26-$F$26),2)</f>
        <v>0.0</v>
      </c>
      <c r="H26" s="13">
        <f>$L$25</f>
        <v>0.0</v>
      </c>
      <c r="I26" s="13">
        <f>ROUND(IF($H$26&lt;=0,0,$H$26*StoreCardAPR/12),2)</f>
        <v>0.0</v>
      </c>
      <c r="J26" s="13">
        <f>ROUND(IF($H$26&lt;=0,0,MIN(StoreCardMinPayment,$H$26+$I$26)),2)</f>
        <v>0.0</v>
      </c>
      <c r="K26" s="13">
        <f>ROUND(IF($H$26&lt;=0,0,MIN(MAX(0,$H$26+$I$26-$J$26),MAX(0,$AB$26-$F$26))),2)</f>
        <v>0.0</v>
      </c>
      <c r="L26" s="13">
        <f>ROUND(MAX(0,$H$26+$I$26-$J$26-$K$26),2)</f>
        <v>0.0</v>
      </c>
      <c r="M26" s="13">
        <f>$Q$25</f>
        <v>0.0</v>
      </c>
      <c r="N26" s="13">
        <f>ROUND(IF($M$26&lt;=0,0,$M$26*RewardsVisaAPR/12),2)</f>
        <v>0.0</v>
      </c>
      <c r="O26" s="13">
        <f>ROUND(IF($M$26&lt;=0,0,MIN(RewardsVisaMinPayment,$M$26+$N$26)),2)</f>
        <v>0.0</v>
      </c>
      <c r="P26" s="13">
        <f>ROUND(IF($M$26&lt;=0,0,MIN(MAX(0,$M$26+$N$26-$O$26),MAX(0,$AB$26-$F$26-$K$26))),2)</f>
        <v>0.0</v>
      </c>
      <c r="Q26" s="13">
        <f>ROUND(MAX(0,$M$26+$N$26-$O$26-$P$26),2)</f>
        <v>0.0</v>
      </c>
      <c r="R26" s="13">
        <f>$V$25</f>
        <v>991.92</v>
      </c>
      <c r="S26" s="13">
        <f>ROUND(IF($R$26&lt;=0,0,$R$26*CreditUnionCardAPR/12),2)</f>
        <v>14.8</v>
      </c>
      <c r="T26" s="13">
        <f>ROUND(IF($R$26&lt;=0,0,MIN(CreditUnionCardMinPayment,$R$26+$S$26)),2)</f>
        <v>108.0</v>
      </c>
      <c r="U26" s="13">
        <f>ROUND(IF($R$26&lt;=0,0,MIN(MAX(0,$R$26+$S$26-$T$26),MAX(0,$AB$26-$F$26-$K$26-$P$26))),2)</f>
        <v>476.0</v>
      </c>
      <c r="V26" s="13">
        <f>ROUND(MAX(0,$R$26+$S$26-$T$26-$U$26),2)</f>
        <v>422.72</v>
      </c>
      <c r="W26" s="13">
        <f>$AA$25</f>
        <v>4858.33</v>
      </c>
      <c r="X26" s="13">
        <f>ROUND(IF($W$26&lt;=0,0,$W$26*PersonalLoanAPR/12),2)</f>
        <v>41.5</v>
      </c>
      <c r="Y26" s="13">
        <f>ROUND(IF($W$26&lt;=0,0,MIN(PersonalLoanMinPayment,$W$26+$X$26)),2)</f>
        <v>216.0</v>
      </c>
      <c r="Z26" s="13">
        <f>ROUND(IF($W$26&lt;=0,0,MIN(MAX(0,$W$26+$X$26-$Y$26),MAX(0,$AB$26-$F$26-$K$26-$P$26-$U$26))),2)</f>
        <v>0.0</v>
      </c>
      <c r="AA26" s="13">
        <f>ROUND(MAX(0,$W$26+$X$26-$Y$26-$Z$26),2)</f>
        <v>4683.83</v>
      </c>
      <c r="AB26" s="13">
        <f>ROUND(ExtraPayment+IF($G$25&lt;=0,MedicalPlanMinPayment,0)+IF($L$25&lt;=0,StoreCardMinPayment,0)+IF($Q$25&lt;=0,RewardsVisaMinPayment,0)+IF($V$25&lt;=0,CreditUnionCardMinPayment,0)+IF($AA$25&lt;=0,PersonalLoanMinPayment,0),2)</f>
        <v>476.0</v>
      </c>
      <c r="AC26" s="13">
        <f>ROUND(SUM($D$26,$I$26,$N$26,$S$26,$X$26),2)</f>
        <v>56.3</v>
      </c>
      <c r="AD26" s="13">
        <f>ROUND(SUM($G$26,$L$26,$Q$26,$V$26,$AA$26),2)</f>
        <v>5106.55</v>
      </c>
    </row>
    <row r="27" spans="1:30">
      <c r="A27" s="17">
        <f>ROW()-3</f>
        <v>23</v>
      </c>
      <c r="B27" s="18" t="str">
        <f>TEXT(EDATE(StartDate,A27-1),"mmm yyyy")</f>
        <v>Feb 2028</v>
      </c>
      <c r="C27" s="13">
        <f>$G$26</f>
        <v>0.0</v>
      </c>
      <c r="D27" s="13">
        <f>ROUND(IF($C$27&lt;=0,0,$C$27*MedicalPlanAPR/12),2)</f>
        <v>0.0</v>
      </c>
      <c r="E27" s="13">
        <f>ROUND(IF($C$27&lt;=0,0,MIN(MedicalPlanMinPayment,$C$27+$D$27)),2)</f>
        <v>0.0</v>
      </c>
      <c r="F27" s="13">
        <f>ROUND(IF($C$27&lt;=0,0,MIN(MAX(0,$C$27+$D$27-$E$27),$AB$27)),2)</f>
        <v>0.0</v>
      </c>
      <c r="G27" s="13">
        <f>ROUND(MAX(0,$C$27+$D$27-$E$27-$F$27),2)</f>
        <v>0.0</v>
      </c>
      <c r="H27" s="13">
        <f>$L$26</f>
        <v>0.0</v>
      </c>
      <c r="I27" s="13">
        <f>ROUND(IF($H$27&lt;=0,0,$H$27*StoreCardAPR/12),2)</f>
        <v>0.0</v>
      </c>
      <c r="J27" s="13">
        <f>ROUND(IF($H$27&lt;=0,0,MIN(StoreCardMinPayment,$H$27+$I$27)),2)</f>
        <v>0.0</v>
      </c>
      <c r="K27" s="13">
        <f>ROUND(IF($H$27&lt;=0,0,MIN(MAX(0,$H$27+$I$27-$J$27),MAX(0,$AB$27-$F$27))),2)</f>
        <v>0.0</v>
      </c>
      <c r="L27" s="13">
        <f>ROUND(MAX(0,$H$27+$I$27-$J$27-$K$27),2)</f>
        <v>0.0</v>
      </c>
      <c r="M27" s="13">
        <f>$Q$26</f>
        <v>0.0</v>
      </c>
      <c r="N27" s="13">
        <f>ROUND(IF($M$27&lt;=0,0,$M$27*RewardsVisaAPR/12),2)</f>
        <v>0.0</v>
      </c>
      <c r="O27" s="13">
        <f>ROUND(IF($M$27&lt;=0,0,MIN(RewardsVisaMinPayment,$M$27+$N$27)),2)</f>
        <v>0.0</v>
      </c>
      <c r="P27" s="13">
        <f>ROUND(IF($M$27&lt;=0,0,MIN(MAX(0,$M$27+$N$27-$O$27),MAX(0,$AB$27-$F$27-$K$27))),2)</f>
        <v>0.0</v>
      </c>
      <c r="Q27" s="13">
        <f>ROUND(MAX(0,$M$27+$N$27-$O$27-$P$27),2)</f>
        <v>0.0</v>
      </c>
      <c r="R27" s="13">
        <f>$V$26</f>
        <v>422.72</v>
      </c>
      <c r="S27" s="13">
        <f>ROUND(IF($R$27&lt;=0,0,$R$27*CreditUnionCardAPR/12),2)</f>
        <v>6.31</v>
      </c>
      <c r="T27" s="13">
        <f>ROUND(IF($R$27&lt;=0,0,MIN(CreditUnionCardMinPayment,$R$27+$S$27)),2)</f>
        <v>108.0</v>
      </c>
      <c r="U27" s="13">
        <f>ROUND(IF($R$27&lt;=0,0,MIN(MAX(0,$R$27+$S$27-$T$27),MAX(0,$AB$27-$F$27-$K$27-$P$27))),2)</f>
        <v>321.03</v>
      </c>
      <c r="V27" s="13">
        <f>ROUND(MAX(0,$R$27+$S$27-$T$27-$U$27),2)</f>
        <v>0.0</v>
      </c>
      <c r="W27" s="13">
        <f>$AA$26</f>
        <v>4683.83</v>
      </c>
      <c r="X27" s="13">
        <f>ROUND(IF($W$27&lt;=0,0,$W$27*PersonalLoanAPR/12),2)</f>
        <v>40.01</v>
      </c>
      <c r="Y27" s="13">
        <f>ROUND(IF($W$27&lt;=0,0,MIN(PersonalLoanMinPayment,$W$27+$X$27)),2)</f>
        <v>216.0</v>
      </c>
      <c r="Z27" s="13">
        <f>ROUND(IF($W$27&lt;=0,0,MIN(MAX(0,$W$27+$X$27-$Y$27),MAX(0,$AB$27-$F$27-$K$27-$P$27-$U$27))),2)</f>
        <v>154.97</v>
      </c>
      <c r="AA27" s="13">
        <f>ROUND(MAX(0,$W$27+$X$27-$Y$27-$Z$27),2)</f>
        <v>4352.87</v>
      </c>
      <c r="AB27" s="13">
        <f>ROUND(ExtraPayment+IF($G$26&lt;=0,MedicalPlanMinPayment,0)+IF($L$26&lt;=0,StoreCardMinPayment,0)+IF($Q$26&lt;=0,RewardsVisaMinPayment,0)+IF($V$26&lt;=0,CreditUnionCardMinPayment,0)+IF($AA$26&lt;=0,PersonalLoanMinPayment,0),2)</f>
        <v>476.0</v>
      </c>
      <c r="AC27" s="13">
        <f>ROUND(SUM($D$27,$I$27,$N$27,$S$27,$X$27),2)</f>
        <v>46.32</v>
      </c>
      <c r="AD27" s="13">
        <f>ROUND(SUM($G$27,$L$27,$Q$27,$V$27,$AA$27),2)</f>
        <v>4352.87</v>
      </c>
    </row>
    <row r="28" spans="1:30">
      <c r="A28" s="17">
        <f>ROW()-3</f>
        <v>24</v>
      </c>
      <c r="B28" s="18" t="str">
        <f>TEXT(EDATE(StartDate,A28-1),"mmm yyyy")</f>
        <v>Mar 2028</v>
      </c>
      <c r="C28" s="13">
        <f>$G$27</f>
        <v>0.0</v>
      </c>
      <c r="D28" s="13">
        <f>ROUND(IF($C$28&lt;=0,0,$C$28*MedicalPlanAPR/12),2)</f>
        <v>0.0</v>
      </c>
      <c r="E28" s="13">
        <f>ROUND(IF($C$28&lt;=0,0,MIN(MedicalPlanMinPayment,$C$28+$D$28)),2)</f>
        <v>0.0</v>
      </c>
      <c r="F28" s="13">
        <f>ROUND(IF($C$28&lt;=0,0,MIN(MAX(0,$C$28+$D$28-$E$28),$AB$28)),2)</f>
        <v>0.0</v>
      </c>
      <c r="G28" s="13">
        <f>ROUND(MAX(0,$C$28+$D$28-$E$28-$F$28),2)</f>
        <v>0.0</v>
      </c>
      <c r="H28" s="13">
        <f>$L$27</f>
        <v>0.0</v>
      </c>
      <c r="I28" s="13">
        <f>ROUND(IF($H$28&lt;=0,0,$H$28*StoreCardAPR/12),2)</f>
        <v>0.0</v>
      </c>
      <c r="J28" s="13">
        <f>ROUND(IF($H$28&lt;=0,0,MIN(StoreCardMinPayment,$H$28+$I$28)),2)</f>
        <v>0.0</v>
      </c>
      <c r="K28" s="13">
        <f>ROUND(IF($H$28&lt;=0,0,MIN(MAX(0,$H$28+$I$28-$J$28),MAX(0,$AB$28-$F$28))),2)</f>
        <v>0.0</v>
      </c>
      <c r="L28" s="13">
        <f>ROUND(MAX(0,$H$28+$I$28-$J$28-$K$28),2)</f>
        <v>0.0</v>
      </c>
      <c r="M28" s="13">
        <f>$Q$27</f>
        <v>0.0</v>
      </c>
      <c r="N28" s="13">
        <f>ROUND(IF($M$28&lt;=0,0,$M$28*RewardsVisaAPR/12),2)</f>
        <v>0.0</v>
      </c>
      <c r="O28" s="13">
        <f>ROUND(IF($M$28&lt;=0,0,MIN(RewardsVisaMinPayment,$M$28+$N$28)),2)</f>
        <v>0.0</v>
      </c>
      <c r="P28" s="13">
        <f>ROUND(IF($M$28&lt;=0,0,MIN(MAX(0,$M$28+$N$28-$O$28),MAX(0,$AB$28-$F$28-$K$28))),2)</f>
        <v>0.0</v>
      </c>
      <c r="Q28" s="13">
        <f>ROUND(MAX(0,$M$28+$N$28-$O$28-$P$28),2)</f>
        <v>0.0</v>
      </c>
      <c r="R28" s="13">
        <f>$V$27</f>
        <v>0.0</v>
      </c>
      <c r="S28" s="13">
        <f>ROUND(IF($R$28&lt;=0,0,$R$28*CreditUnionCardAPR/12),2)</f>
        <v>0.0</v>
      </c>
      <c r="T28" s="13">
        <f>ROUND(IF($R$28&lt;=0,0,MIN(CreditUnionCardMinPayment,$R$28+$S$28)),2)</f>
        <v>0.0</v>
      </c>
      <c r="U28" s="13">
        <f>ROUND(IF($R$28&lt;=0,0,MIN(MAX(0,$R$28+$S$28-$T$28),MAX(0,$AB$28-$F$28-$K$28-$P$28))),2)</f>
        <v>0.0</v>
      </c>
      <c r="V28" s="13">
        <f>ROUND(MAX(0,$R$28+$S$28-$T$28-$U$28),2)</f>
        <v>0.0</v>
      </c>
      <c r="W28" s="13">
        <f>$AA$27</f>
        <v>4352.87</v>
      </c>
      <c r="X28" s="13">
        <f>ROUND(IF($W$28&lt;=0,0,$W$28*PersonalLoanAPR/12),2)</f>
        <v>37.18</v>
      </c>
      <c r="Y28" s="13">
        <f>ROUND(IF($W$28&lt;=0,0,MIN(PersonalLoanMinPayment,$W$28+$X$28)),2)</f>
        <v>216.0</v>
      </c>
      <c r="Z28" s="13">
        <f>ROUND(IF($W$28&lt;=0,0,MIN(MAX(0,$W$28+$X$28-$Y$28),MAX(0,$AB$28-$F$28-$K$28-$P$28-$U$28))),2)</f>
        <v>584.0</v>
      </c>
      <c r="AA28" s="13">
        <f>ROUND(MAX(0,$W$28+$X$28-$Y$28-$Z$28),2)</f>
        <v>3590.05</v>
      </c>
      <c r="AB28" s="13">
        <f>ROUND(ExtraPayment+IF($G$27&lt;=0,MedicalPlanMinPayment,0)+IF($L$27&lt;=0,StoreCardMinPayment,0)+IF($Q$27&lt;=0,RewardsVisaMinPayment,0)+IF($V$27&lt;=0,CreditUnionCardMinPayment,0)+IF($AA$27&lt;=0,PersonalLoanMinPayment,0),2)</f>
        <v>584.0</v>
      </c>
      <c r="AC28" s="13">
        <f>ROUND(SUM($D$28,$I$28,$N$28,$S$28,$X$28),2)</f>
        <v>37.18</v>
      </c>
      <c r="AD28" s="13">
        <f>ROUND(SUM($G$28,$L$28,$Q$28,$V$28,$AA$28),2)</f>
        <v>3590.05</v>
      </c>
    </row>
    <row r="29" spans="1:30">
      <c r="A29" s="17">
        <f>ROW()-3</f>
        <v>25</v>
      </c>
      <c r="B29" s="18" t="str">
        <f>TEXT(EDATE(StartDate,A29-1),"mmm yyyy")</f>
        <v>Apr 2028</v>
      </c>
      <c r="C29" s="13">
        <f>$G$28</f>
        <v>0.0</v>
      </c>
      <c r="D29" s="13">
        <f>ROUND(IF($C$29&lt;=0,0,$C$29*MedicalPlanAPR/12),2)</f>
        <v>0.0</v>
      </c>
      <c r="E29" s="13">
        <f>ROUND(IF($C$29&lt;=0,0,MIN(MedicalPlanMinPayment,$C$29+$D$29)),2)</f>
        <v>0.0</v>
      </c>
      <c r="F29" s="13">
        <f>ROUND(IF($C$29&lt;=0,0,MIN(MAX(0,$C$29+$D$29-$E$29),$AB$29)),2)</f>
        <v>0.0</v>
      </c>
      <c r="G29" s="13">
        <f>ROUND(MAX(0,$C$29+$D$29-$E$29-$F$29),2)</f>
        <v>0.0</v>
      </c>
      <c r="H29" s="13">
        <f>$L$28</f>
        <v>0.0</v>
      </c>
      <c r="I29" s="13">
        <f>ROUND(IF($H$29&lt;=0,0,$H$29*StoreCardAPR/12),2)</f>
        <v>0.0</v>
      </c>
      <c r="J29" s="13">
        <f>ROUND(IF($H$29&lt;=0,0,MIN(StoreCardMinPayment,$H$29+$I$29)),2)</f>
        <v>0.0</v>
      </c>
      <c r="K29" s="13">
        <f>ROUND(IF($H$29&lt;=0,0,MIN(MAX(0,$H$29+$I$29-$J$29),MAX(0,$AB$29-$F$29))),2)</f>
        <v>0.0</v>
      </c>
      <c r="L29" s="13">
        <f>ROUND(MAX(0,$H$29+$I$29-$J$29-$K$29),2)</f>
        <v>0.0</v>
      </c>
      <c r="M29" s="13">
        <f>$Q$28</f>
        <v>0.0</v>
      </c>
      <c r="N29" s="13">
        <f>ROUND(IF($M$29&lt;=0,0,$M$29*RewardsVisaAPR/12),2)</f>
        <v>0.0</v>
      </c>
      <c r="O29" s="13">
        <f>ROUND(IF($M$29&lt;=0,0,MIN(RewardsVisaMinPayment,$M$29+$N$29)),2)</f>
        <v>0.0</v>
      </c>
      <c r="P29" s="13">
        <f>ROUND(IF($M$29&lt;=0,0,MIN(MAX(0,$M$29+$N$29-$O$29),MAX(0,$AB$29-$F$29-$K$29))),2)</f>
        <v>0.0</v>
      </c>
      <c r="Q29" s="13">
        <f>ROUND(MAX(0,$M$29+$N$29-$O$29-$P$29),2)</f>
        <v>0.0</v>
      </c>
      <c r="R29" s="13">
        <f>$V$28</f>
        <v>0.0</v>
      </c>
      <c r="S29" s="13">
        <f>ROUND(IF($R$29&lt;=0,0,$R$29*CreditUnionCardAPR/12),2)</f>
        <v>0.0</v>
      </c>
      <c r="T29" s="13">
        <f>ROUND(IF($R$29&lt;=0,0,MIN(CreditUnionCardMinPayment,$R$29+$S$29)),2)</f>
        <v>0.0</v>
      </c>
      <c r="U29" s="13">
        <f>ROUND(IF($R$29&lt;=0,0,MIN(MAX(0,$R$29+$S$29-$T$29),MAX(0,$AB$29-$F$29-$K$29-$P$29))),2)</f>
        <v>0.0</v>
      </c>
      <c r="V29" s="13">
        <f>ROUND(MAX(0,$R$29+$S$29-$T$29-$U$29),2)</f>
        <v>0.0</v>
      </c>
      <c r="W29" s="13">
        <f>$AA$28</f>
        <v>3590.05</v>
      </c>
      <c r="X29" s="13">
        <f>ROUND(IF($W$29&lt;=0,0,$W$29*PersonalLoanAPR/12),2)</f>
        <v>30.67</v>
      </c>
      <c r="Y29" s="13">
        <f>ROUND(IF($W$29&lt;=0,0,MIN(PersonalLoanMinPayment,$W$29+$X$29)),2)</f>
        <v>216.0</v>
      </c>
      <c r="Z29" s="13">
        <f>ROUND(IF($W$29&lt;=0,0,MIN(MAX(0,$W$29+$X$29-$Y$29),MAX(0,$AB$29-$F$29-$K$29-$P$29-$U$29))),2)</f>
        <v>584.0</v>
      </c>
      <c r="AA29" s="13">
        <f>ROUND(MAX(0,$W$29+$X$29-$Y$29-$Z$29),2)</f>
        <v>2820.72</v>
      </c>
      <c r="AB29" s="13">
        <f>ROUND(ExtraPayment+IF($G$28&lt;=0,MedicalPlanMinPayment,0)+IF($L$28&lt;=0,StoreCardMinPayment,0)+IF($Q$28&lt;=0,RewardsVisaMinPayment,0)+IF($V$28&lt;=0,CreditUnionCardMinPayment,0)+IF($AA$28&lt;=0,PersonalLoanMinPayment,0),2)</f>
        <v>584.0</v>
      </c>
      <c r="AC29" s="13">
        <f>ROUND(SUM($D$29,$I$29,$N$29,$S$29,$X$29),2)</f>
        <v>30.67</v>
      </c>
      <c r="AD29" s="13">
        <f>ROUND(SUM($G$29,$L$29,$Q$29,$V$29,$AA$29),2)</f>
        <v>2820.72</v>
      </c>
    </row>
    <row r="30" spans="1:30">
      <c r="A30" s="17">
        <f>ROW()-3</f>
        <v>26</v>
      </c>
      <c r="B30" s="18" t="str">
        <f>TEXT(EDATE(StartDate,A30-1),"mmm yyyy")</f>
        <v>May 2028</v>
      </c>
      <c r="C30" s="13">
        <f>$G$29</f>
        <v>0.0</v>
      </c>
      <c r="D30" s="13">
        <f>ROUND(IF($C$30&lt;=0,0,$C$30*MedicalPlanAPR/12),2)</f>
        <v>0.0</v>
      </c>
      <c r="E30" s="13">
        <f>ROUND(IF($C$30&lt;=0,0,MIN(MedicalPlanMinPayment,$C$30+$D$30)),2)</f>
        <v>0.0</v>
      </c>
      <c r="F30" s="13">
        <f>ROUND(IF($C$30&lt;=0,0,MIN(MAX(0,$C$30+$D$30-$E$30),$AB$30)),2)</f>
        <v>0.0</v>
      </c>
      <c r="G30" s="13">
        <f>ROUND(MAX(0,$C$30+$D$30-$E$30-$F$30),2)</f>
        <v>0.0</v>
      </c>
      <c r="H30" s="13">
        <f>$L$29</f>
        <v>0.0</v>
      </c>
      <c r="I30" s="13">
        <f>ROUND(IF($H$30&lt;=0,0,$H$30*StoreCardAPR/12),2)</f>
        <v>0.0</v>
      </c>
      <c r="J30" s="13">
        <f>ROUND(IF($H$30&lt;=0,0,MIN(StoreCardMinPayment,$H$30+$I$30)),2)</f>
        <v>0.0</v>
      </c>
      <c r="K30" s="13">
        <f>ROUND(IF($H$30&lt;=0,0,MIN(MAX(0,$H$30+$I$30-$J$30),MAX(0,$AB$30-$F$30))),2)</f>
        <v>0.0</v>
      </c>
      <c r="L30" s="13">
        <f>ROUND(MAX(0,$H$30+$I$30-$J$30-$K$30),2)</f>
        <v>0.0</v>
      </c>
      <c r="M30" s="13">
        <f>$Q$29</f>
        <v>0.0</v>
      </c>
      <c r="N30" s="13">
        <f>ROUND(IF($M$30&lt;=0,0,$M$30*RewardsVisaAPR/12),2)</f>
        <v>0.0</v>
      </c>
      <c r="O30" s="13">
        <f>ROUND(IF($M$30&lt;=0,0,MIN(RewardsVisaMinPayment,$M$30+$N$30)),2)</f>
        <v>0.0</v>
      </c>
      <c r="P30" s="13">
        <f>ROUND(IF($M$30&lt;=0,0,MIN(MAX(0,$M$30+$N$30-$O$30),MAX(0,$AB$30-$F$30-$K$30))),2)</f>
        <v>0.0</v>
      </c>
      <c r="Q30" s="13">
        <f>ROUND(MAX(0,$M$30+$N$30-$O$30-$P$30),2)</f>
        <v>0.0</v>
      </c>
      <c r="R30" s="13">
        <f>$V$29</f>
        <v>0.0</v>
      </c>
      <c r="S30" s="13">
        <f>ROUND(IF($R$30&lt;=0,0,$R$30*CreditUnionCardAPR/12),2)</f>
        <v>0.0</v>
      </c>
      <c r="T30" s="13">
        <f>ROUND(IF($R$30&lt;=0,0,MIN(CreditUnionCardMinPayment,$R$30+$S$30)),2)</f>
        <v>0.0</v>
      </c>
      <c r="U30" s="13">
        <f>ROUND(IF($R$30&lt;=0,0,MIN(MAX(0,$R$30+$S$30-$T$30),MAX(0,$AB$30-$F$30-$K$30-$P$30))),2)</f>
        <v>0.0</v>
      </c>
      <c r="V30" s="13">
        <f>ROUND(MAX(0,$R$30+$S$30-$T$30-$U$30),2)</f>
        <v>0.0</v>
      </c>
      <c r="W30" s="13">
        <f>$AA$29</f>
        <v>2820.72</v>
      </c>
      <c r="X30" s="13">
        <f>ROUND(IF($W$30&lt;=0,0,$W$30*PersonalLoanAPR/12),2)</f>
        <v>24.09</v>
      </c>
      <c r="Y30" s="13">
        <f>ROUND(IF($W$30&lt;=0,0,MIN(PersonalLoanMinPayment,$W$30+$X$30)),2)</f>
        <v>216.0</v>
      </c>
      <c r="Z30" s="13">
        <f>ROUND(IF($W$30&lt;=0,0,MIN(MAX(0,$W$30+$X$30-$Y$30),MAX(0,$AB$30-$F$30-$K$30-$P$30-$U$30))),2)</f>
        <v>584.0</v>
      </c>
      <c r="AA30" s="13">
        <f>ROUND(MAX(0,$W$30+$X$30-$Y$30-$Z$30),2)</f>
        <v>2044.81</v>
      </c>
      <c r="AB30" s="13">
        <f>ROUND(ExtraPayment+IF($G$29&lt;=0,MedicalPlanMinPayment,0)+IF($L$29&lt;=0,StoreCardMinPayment,0)+IF($Q$29&lt;=0,RewardsVisaMinPayment,0)+IF($V$29&lt;=0,CreditUnionCardMinPayment,0)+IF($AA$29&lt;=0,PersonalLoanMinPayment,0),2)</f>
        <v>584.0</v>
      </c>
      <c r="AC30" s="13">
        <f>ROUND(SUM($D$30,$I$30,$N$30,$S$30,$X$30),2)</f>
        <v>24.09</v>
      </c>
      <c r="AD30" s="13">
        <f>ROUND(SUM($G$30,$L$30,$Q$30,$V$30,$AA$30),2)</f>
        <v>2044.81</v>
      </c>
    </row>
    <row r="31" spans="1:30">
      <c r="A31" s="17">
        <f>ROW()-3</f>
        <v>27</v>
      </c>
      <c r="B31" s="18" t="str">
        <f>TEXT(EDATE(StartDate,A31-1),"mmm yyyy")</f>
        <v>Jun 2028</v>
      </c>
      <c r="C31" s="13">
        <f>$G$30</f>
        <v>0.0</v>
      </c>
      <c r="D31" s="13">
        <f>ROUND(IF($C$31&lt;=0,0,$C$31*MedicalPlanAPR/12),2)</f>
        <v>0.0</v>
      </c>
      <c r="E31" s="13">
        <f>ROUND(IF($C$31&lt;=0,0,MIN(MedicalPlanMinPayment,$C$31+$D$31)),2)</f>
        <v>0.0</v>
      </c>
      <c r="F31" s="13">
        <f>ROUND(IF($C$31&lt;=0,0,MIN(MAX(0,$C$31+$D$31-$E$31),$AB$31)),2)</f>
        <v>0.0</v>
      </c>
      <c r="G31" s="13">
        <f>ROUND(MAX(0,$C$31+$D$31-$E$31-$F$31),2)</f>
        <v>0.0</v>
      </c>
      <c r="H31" s="13">
        <f>$L$30</f>
        <v>0.0</v>
      </c>
      <c r="I31" s="13">
        <f>ROUND(IF($H$31&lt;=0,0,$H$31*StoreCardAPR/12),2)</f>
        <v>0.0</v>
      </c>
      <c r="J31" s="13">
        <f>ROUND(IF($H$31&lt;=0,0,MIN(StoreCardMinPayment,$H$31+$I$31)),2)</f>
        <v>0.0</v>
      </c>
      <c r="K31" s="13">
        <f>ROUND(IF($H$31&lt;=0,0,MIN(MAX(0,$H$31+$I$31-$J$31),MAX(0,$AB$31-$F$31))),2)</f>
        <v>0.0</v>
      </c>
      <c r="L31" s="13">
        <f>ROUND(MAX(0,$H$31+$I$31-$J$31-$K$31),2)</f>
        <v>0.0</v>
      </c>
      <c r="M31" s="13">
        <f>$Q$30</f>
        <v>0.0</v>
      </c>
      <c r="N31" s="13">
        <f>ROUND(IF($M$31&lt;=0,0,$M$31*RewardsVisaAPR/12),2)</f>
        <v>0.0</v>
      </c>
      <c r="O31" s="13">
        <f>ROUND(IF($M$31&lt;=0,0,MIN(RewardsVisaMinPayment,$M$31+$N$31)),2)</f>
        <v>0.0</v>
      </c>
      <c r="P31" s="13">
        <f>ROUND(IF($M$31&lt;=0,0,MIN(MAX(0,$M$31+$N$31-$O$31),MAX(0,$AB$31-$F$31-$K$31))),2)</f>
        <v>0.0</v>
      </c>
      <c r="Q31" s="13">
        <f>ROUND(MAX(0,$M$31+$N$31-$O$31-$P$31),2)</f>
        <v>0.0</v>
      </c>
      <c r="R31" s="13">
        <f>$V$30</f>
        <v>0.0</v>
      </c>
      <c r="S31" s="13">
        <f>ROUND(IF($R$31&lt;=0,0,$R$31*CreditUnionCardAPR/12),2)</f>
        <v>0.0</v>
      </c>
      <c r="T31" s="13">
        <f>ROUND(IF($R$31&lt;=0,0,MIN(CreditUnionCardMinPayment,$R$31+$S$31)),2)</f>
        <v>0.0</v>
      </c>
      <c r="U31" s="13">
        <f>ROUND(IF($R$31&lt;=0,0,MIN(MAX(0,$R$31+$S$31-$T$31),MAX(0,$AB$31-$F$31-$K$31-$P$31))),2)</f>
        <v>0.0</v>
      </c>
      <c r="V31" s="13">
        <f>ROUND(MAX(0,$R$31+$S$31-$T$31-$U$31),2)</f>
        <v>0.0</v>
      </c>
      <c r="W31" s="13">
        <f>$AA$30</f>
        <v>2044.81</v>
      </c>
      <c r="X31" s="13">
        <f>ROUND(IF($W$31&lt;=0,0,$W$31*PersonalLoanAPR/12),2)</f>
        <v>17.47</v>
      </c>
      <c r="Y31" s="13">
        <f>ROUND(IF($W$31&lt;=0,0,MIN(PersonalLoanMinPayment,$W$31+$X$31)),2)</f>
        <v>216.0</v>
      </c>
      <c r="Z31" s="13">
        <f>ROUND(IF($W$31&lt;=0,0,MIN(MAX(0,$W$31+$X$31-$Y$31),MAX(0,$AB$31-$F$31-$K$31-$P$31-$U$31))),2)</f>
        <v>584.0</v>
      </c>
      <c r="AA31" s="13">
        <f>ROUND(MAX(0,$W$31+$X$31-$Y$31-$Z$31),2)</f>
        <v>1262.28</v>
      </c>
      <c r="AB31" s="13">
        <f>ROUND(ExtraPayment+IF($G$30&lt;=0,MedicalPlanMinPayment,0)+IF($L$30&lt;=0,StoreCardMinPayment,0)+IF($Q$30&lt;=0,RewardsVisaMinPayment,0)+IF($V$30&lt;=0,CreditUnionCardMinPayment,0)+IF($AA$30&lt;=0,PersonalLoanMinPayment,0),2)</f>
        <v>584.0</v>
      </c>
      <c r="AC31" s="13">
        <f>ROUND(SUM($D$31,$I$31,$N$31,$S$31,$X$31),2)</f>
        <v>17.47</v>
      </c>
      <c r="AD31" s="13">
        <f>ROUND(SUM($G$31,$L$31,$Q$31,$V$31,$AA$31),2)</f>
        <v>1262.28</v>
      </c>
    </row>
    <row r="32" spans="1:30">
      <c r="A32" s="17">
        <f>ROW()-3</f>
        <v>28</v>
      </c>
      <c r="B32" s="18" t="str">
        <f>TEXT(EDATE(StartDate,A32-1),"mmm yyyy")</f>
        <v>Jul 2028</v>
      </c>
      <c r="C32" s="13">
        <f>$G$31</f>
        <v>0.0</v>
      </c>
      <c r="D32" s="13">
        <f>ROUND(IF($C$32&lt;=0,0,$C$32*MedicalPlanAPR/12),2)</f>
        <v>0.0</v>
      </c>
      <c r="E32" s="13">
        <f>ROUND(IF($C$32&lt;=0,0,MIN(MedicalPlanMinPayment,$C$32+$D$32)),2)</f>
        <v>0.0</v>
      </c>
      <c r="F32" s="13">
        <f>ROUND(IF($C$32&lt;=0,0,MIN(MAX(0,$C$32+$D$32-$E$32),$AB$32)),2)</f>
        <v>0.0</v>
      </c>
      <c r="G32" s="13">
        <f>ROUND(MAX(0,$C$32+$D$32-$E$32-$F$32),2)</f>
        <v>0.0</v>
      </c>
      <c r="H32" s="13">
        <f>$L$31</f>
        <v>0.0</v>
      </c>
      <c r="I32" s="13">
        <f>ROUND(IF($H$32&lt;=0,0,$H$32*StoreCardAPR/12),2)</f>
        <v>0.0</v>
      </c>
      <c r="J32" s="13">
        <f>ROUND(IF($H$32&lt;=0,0,MIN(StoreCardMinPayment,$H$32+$I$32)),2)</f>
        <v>0.0</v>
      </c>
      <c r="K32" s="13">
        <f>ROUND(IF($H$32&lt;=0,0,MIN(MAX(0,$H$32+$I$32-$J$32),MAX(0,$AB$32-$F$32))),2)</f>
        <v>0.0</v>
      </c>
      <c r="L32" s="13">
        <f>ROUND(MAX(0,$H$32+$I$32-$J$32-$K$32),2)</f>
        <v>0.0</v>
      </c>
      <c r="M32" s="13">
        <f>$Q$31</f>
        <v>0.0</v>
      </c>
      <c r="N32" s="13">
        <f>ROUND(IF($M$32&lt;=0,0,$M$32*RewardsVisaAPR/12),2)</f>
        <v>0.0</v>
      </c>
      <c r="O32" s="13">
        <f>ROUND(IF($M$32&lt;=0,0,MIN(RewardsVisaMinPayment,$M$32+$N$32)),2)</f>
        <v>0.0</v>
      </c>
      <c r="P32" s="13">
        <f>ROUND(IF($M$32&lt;=0,0,MIN(MAX(0,$M$32+$N$32-$O$32),MAX(0,$AB$32-$F$32-$K$32))),2)</f>
        <v>0.0</v>
      </c>
      <c r="Q32" s="13">
        <f>ROUND(MAX(0,$M$32+$N$32-$O$32-$P$32),2)</f>
        <v>0.0</v>
      </c>
      <c r="R32" s="13">
        <f>$V$31</f>
        <v>0.0</v>
      </c>
      <c r="S32" s="13">
        <f>ROUND(IF($R$32&lt;=0,0,$R$32*CreditUnionCardAPR/12),2)</f>
        <v>0.0</v>
      </c>
      <c r="T32" s="13">
        <f>ROUND(IF($R$32&lt;=0,0,MIN(CreditUnionCardMinPayment,$R$32+$S$32)),2)</f>
        <v>0.0</v>
      </c>
      <c r="U32" s="13">
        <f>ROUND(IF($R$32&lt;=0,0,MIN(MAX(0,$R$32+$S$32-$T$32),MAX(0,$AB$32-$F$32-$K$32-$P$32))),2)</f>
        <v>0.0</v>
      </c>
      <c r="V32" s="13">
        <f>ROUND(MAX(0,$R$32+$S$32-$T$32-$U$32),2)</f>
        <v>0.0</v>
      </c>
      <c r="W32" s="13">
        <f>$AA$31</f>
        <v>1262.28</v>
      </c>
      <c r="X32" s="13">
        <f>ROUND(IF($W$32&lt;=0,0,$W$32*PersonalLoanAPR/12),2)</f>
        <v>10.78</v>
      </c>
      <c r="Y32" s="13">
        <f>ROUND(IF($W$32&lt;=0,0,MIN(PersonalLoanMinPayment,$W$32+$X$32)),2)</f>
        <v>216.0</v>
      </c>
      <c r="Z32" s="13">
        <f>ROUND(IF($W$32&lt;=0,0,MIN(MAX(0,$W$32+$X$32-$Y$32),MAX(0,$AB$32-$F$32-$K$32-$P$32-$U$32))),2)</f>
        <v>584.0</v>
      </c>
      <c r="AA32" s="13">
        <f>ROUND(MAX(0,$W$32+$X$32-$Y$32-$Z$32),2)</f>
        <v>473.06</v>
      </c>
      <c r="AB32" s="13">
        <f>ROUND(ExtraPayment+IF($G$31&lt;=0,MedicalPlanMinPayment,0)+IF($L$31&lt;=0,StoreCardMinPayment,0)+IF($Q$31&lt;=0,RewardsVisaMinPayment,0)+IF($V$31&lt;=0,CreditUnionCardMinPayment,0)+IF($AA$31&lt;=0,PersonalLoanMinPayment,0),2)</f>
        <v>584.0</v>
      </c>
      <c r="AC32" s="13">
        <f>ROUND(SUM($D$32,$I$32,$N$32,$S$32,$X$32),2)</f>
        <v>10.78</v>
      </c>
      <c r="AD32" s="13">
        <f>ROUND(SUM($G$32,$L$32,$Q$32,$V$32,$AA$32),2)</f>
        <v>473.06</v>
      </c>
    </row>
    <row r="33" spans="1:30">
      <c r="A33" s="17">
        <f>ROW()-3</f>
        <v>29</v>
      </c>
      <c r="B33" s="18" t="str">
        <f>TEXT(EDATE(StartDate,A33-1),"mmm yyyy")</f>
        <v>Aug 2028</v>
      </c>
      <c r="C33" s="13">
        <f>$G$32</f>
        <v>0.0</v>
      </c>
      <c r="D33" s="13">
        <f>ROUND(IF($C$33&lt;=0,0,$C$33*MedicalPlanAPR/12),2)</f>
        <v>0.0</v>
      </c>
      <c r="E33" s="13">
        <f>ROUND(IF($C$33&lt;=0,0,MIN(MedicalPlanMinPayment,$C$33+$D$33)),2)</f>
        <v>0.0</v>
      </c>
      <c r="F33" s="13">
        <f>ROUND(IF($C$33&lt;=0,0,MIN(MAX(0,$C$33+$D$33-$E$33),$AB$33)),2)</f>
        <v>0.0</v>
      </c>
      <c r="G33" s="13">
        <f>ROUND(MAX(0,$C$33+$D$33-$E$33-$F$33),2)</f>
        <v>0.0</v>
      </c>
      <c r="H33" s="13">
        <f>$L$32</f>
        <v>0.0</v>
      </c>
      <c r="I33" s="13">
        <f>ROUND(IF($H$33&lt;=0,0,$H$33*StoreCardAPR/12),2)</f>
        <v>0.0</v>
      </c>
      <c r="J33" s="13">
        <f>ROUND(IF($H$33&lt;=0,0,MIN(StoreCardMinPayment,$H$33+$I$33)),2)</f>
        <v>0.0</v>
      </c>
      <c r="K33" s="13">
        <f>ROUND(IF($H$33&lt;=0,0,MIN(MAX(0,$H$33+$I$33-$J$33),MAX(0,$AB$33-$F$33))),2)</f>
        <v>0.0</v>
      </c>
      <c r="L33" s="13">
        <f>ROUND(MAX(0,$H$33+$I$33-$J$33-$K$33),2)</f>
        <v>0.0</v>
      </c>
      <c r="M33" s="13">
        <f>$Q$32</f>
        <v>0.0</v>
      </c>
      <c r="N33" s="13">
        <f>ROUND(IF($M$33&lt;=0,0,$M$33*RewardsVisaAPR/12),2)</f>
        <v>0.0</v>
      </c>
      <c r="O33" s="13">
        <f>ROUND(IF($M$33&lt;=0,0,MIN(RewardsVisaMinPayment,$M$33+$N$33)),2)</f>
        <v>0.0</v>
      </c>
      <c r="P33" s="13">
        <f>ROUND(IF($M$33&lt;=0,0,MIN(MAX(0,$M$33+$N$33-$O$33),MAX(0,$AB$33-$F$33-$K$33))),2)</f>
        <v>0.0</v>
      </c>
      <c r="Q33" s="13">
        <f>ROUND(MAX(0,$M$33+$N$33-$O$33-$P$33),2)</f>
        <v>0.0</v>
      </c>
      <c r="R33" s="13">
        <f>$V$32</f>
        <v>0.0</v>
      </c>
      <c r="S33" s="13">
        <f>ROUND(IF($R$33&lt;=0,0,$R$33*CreditUnionCardAPR/12),2)</f>
        <v>0.0</v>
      </c>
      <c r="T33" s="13">
        <f>ROUND(IF($R$33&lt;=0,0,MIN(CreditUnionCardMinPayment,$R$33+$S$33)),2)</f>
        <v>0.0</v>
      </c>
      <c r="U33" s="13">
        <f>ROUND(IF($R$33&lt;=0,0,MIN(MAX(0,$R$33+$S$33-$T$33),MAX(0,$AB$33-$F$33-$K$33-$P$33))),2)</f>
        <v>0.0</v>
      </c>
      <c r="V33" s="13">
        <f>ROUND(MAX(0,$R$33+$S$33-$T$33-$U$33),2)</f>
        <v>0.0</v>
      </c>
      <c r="W33" s="13">
        <f>$AA$32</f>
        <v>473.06</v>
      </c>
      <c r="X33" s="13">
        <f>ROUND(IF($W$33&lt;=0,0,$W$33*PersonalLoanAPR/12),2)</f>
        <v>4.04</v>
      </c>
      <c r="Y33" s="13">
        <f>ROUND(IF($W$33&lt;=0,0,MIN(PersonalLoanMinPayment,$W$33+$X$33)),2)</f>
        <v>216.0</v>
      </c>
      <c r="Z33" s="13">
        <f>ROUND(IF($W$33&lt;=0,0,MIN(MAX(0,$W$33+$X$33-$Y$33),MAX(0,$AB$33-$F$33-$K$33-$P$33-$U$33))),2)</f>
        <v>261.1</v>
      </c>
      <c r="AA33" s="13">
        <f>ROUND(MAX(0,$W$33+$X$33-$Y$33-$Z$33),2)</f>
        <v>0.0</v>
      </c>
      <c r="AB33" s="13">
        <f>ROUND(ExtraPayment+IF($G$32&lt;=0,MedicalPlanMinPayment,0)+IF($L$32&lt;=0,StoreCardMinPayment,0)+IF($Q$32&lt;=0,RewardsVisaMinPayment,0)+IF($V$32&lt;=0,CreditUnionCardMinPayment,0)+IF($AA$32&lt;=0,PersonalLoanMinPayment,0),2)</f>
        <v>584.0</v>
      </c>
      <c r="AC33" s="13">
        <f>ROUND(SUM($D$33,$I$33,$N$33,$S$33,$X$33),2)</f>
        <v>4.04</v>
      </c>
      <c r="AD33" s="13">
        <f>ROUND(SUM($G$33,$L$33,$Q$33,$V$33,$AA$33),2)</f>
        <v>0.0</v>
      </c>
    </row>
  </sheetData>
  <mergeCells count="8">
    <mergeCell ref="A1:AD1"/>
    <mergeCell ref="C3:G3"/>
    <mergeCell ref="H3:L3"/>
    <mergeCell ref="M3:Q3"/>
    <mergeCell ref="R3:V3"/>
    <mergeCell ref="W3:AA3"/>
    <mergeCell ref="A2:AD2"/>
    <mergeCell ref="A3:B3"/>
  </mergeCells>
  <pageMargins left="0.7" right="0.7" top="0.75" bottom="0.75" header="0.3" footer="0.3"/>
  <headerFooter>
    <oddFooter>&amp;LPrintable Payoff Overview&amp;CDebtPayoffSpreadsheet.org&amp;Rv1.0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2"/>
  <sheetViews>
    <sheetView showGridLines="0" zoomScale="95" zoomScaleNormal="95" workbookViewId="0"/>
  </sheetViews>
  <sheetFormatPr defaultRowHeight="15"/>
  <cols>
    <col min="1" max="1" width="18.7109375" customWidth="1"/>
    <col min="2" max="2" width="13.7109375" customWidth="1"/>
    <col min="3" max="3" width="2.7109375" customWidth="1"/>
    <col min="4" max="4" width="18.7109375" customWidth="1"/>
    <col min="5" max="5" width="13.7109375" customWidth="1"/>
    <col min="6" max="6" width="2.7109375" customWidth="1"/>
    <col min="7" max="7" width="18.7109375" customWidth="1"/>
    <col min="8" max="8" width="15.7109375" customWidth="1"/>
    <col min="9" max="9" width="2.7109375" customWidth="1"/>
    <col min="10" max="10" width="15.7109375" customWidth="1"/>
    <col min="11" max="12" width="13.7109375" customWidth="1"/>
    <col min="13" max="13" width="17.7109375" customWidth="1"/>
    <col min="14" max="14" width="14.7109375" customWidth="1"/>
  </cols>
  <sheetData>
    <row r="1" spans="1:14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28" customHeight="1">
      <c r="A2" s="1" t="s">
        <v>60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1:14">
      <c r="A4" s="2" t="s">
        <v>61</v>
      </c>
      <c r="B4" s="2"/>
      <c r="D4" s="2" t="s">
        <v>62</v>
      </c>
      <c r="E4" s="2"/>
      <c r="G4" s="2" t="s">
        <v>63</v>
      </c>
      <c r="H4" s="2"/>
    </row>
    <row r="5" spans="1:14">
      <c r="A5" s="14" t="s">
        <v>64</v>
      </c>
      <c r="B5" s="13">
        <f>TotalDebt</f>
        <v>19000.0</v>
      </c>
      <c r="D5" s="14" t="s">
        <v>68</v>
      </c>
      <c r="E5" s="18" t="str">
        <f>TEXT(EDATE(StartDate,MATCH(0,'Schedule'!AD5:AD33,0)-1),"mmmm yyyy")</f>
        <v>August 2028</v>
      </c>
      <c r="G5" s="14" t="s">
        <v>72</v>
      </c>
      <c r="H5" s="18">
        <f>INDEX('Schedule'!AD5:AD16,12)</f>
        <v>12045.13</v>
      </c>
    </row>
    <row r="6" spans="1:14">
      <c r="A6" s="14" t="s">
        <v>65</v>
      </c>
      <c r="B6" s="13">
        <f>TotalMinimums</f>
        <v>566.0</v>
      </c>
      <c r="D6" s="14" t="s">
        <v>69</v>
      </c>
      <c r="E6" s="17">
        <f>MATCH(0,'Schedule'!AD5:AD33,0)</f>
        <v>29</v>
      </c>
      <c r="G6" s="14" t="s">
        <v>73</v>
      </c>
      <c r="H6" s="13">
        <f>SUM('Schedule'!AC5:AC16)</f>
        <v>2645.13</v>
      </c>
    </row>
    <row r="7" spans="1:14">
      <c r="A7" s="14" t="s">
        <v>66</v>
      </c>
      <c r="B7" s="13">
        <f>ExtraPayment</f>
        <v>234.0</v>
      </c>
      <c r="D7" s="14" t="s">
        <v>70</v>
      </c>
      <c r="E7" s="13">
        <f>SUM('Schedule'!AC5:AC33)</f>
        <v>3858.82</v>
      </c>
      <c r="G7" s="14" t="s">
        <v>74</v>
      </c>
      <c r="H7" s="17">
        <f>2</f>
        <v>2</v>
      </c>
    </row>
    <row r="8" spans="1:14">
      <c r="A8" s="14" t="s">
        <v>67</v>
      </c>
      <c r="B8" s="13">
        <f>TotalMinimums+ExtraPayment</f>
        <v>800.0</v>
      </c>
      <c r="D8" s="14" t="s">
        <v>71</v>
      </c>
      <c r="E8" s="13">
        <f>TotalDebt+SUM('Schedule'!AC5:AC33)</f>
        <v>22858.82</v>
      </c>
      <c r="G8" s="14" t="s">
        <v>75</v>
      </c>
      <c r="H8" s="18" t="str">
        <f>TEXT(EDATE(StartDate,MATCH(0,'Schedule'!L5:L33,0)-1),"mmmm yyyy")</f>
        <v>September 2026</v>
      </c>
    </row>
    <row r="13" spans="1:14">
      <c r="A13" s="2" t="s">
        <v>76</v>
      </c>
      <c r="B13" s="2"/>
      <c r="C13" s="2"/>
      <c r="D13" s="2"/>
      <c r="E13" s="2"/>
      <c r="F13" s="2"/>
      <c r="G13" s="2"/>
      <c r="J13" s="2" t="s">
        <v>86</v>
      </c>
      <c r="K13" s="2"/>
      <c r="L13" s="2"/>
      <c r="M13" s="2"/>
      <c r="N13" s="2"/>
    </row>
    <row r="14" spans="1:14">
      <c r="A14" s="7" t="s">
        <v>77</v>
      </c>
      <c r="B14" s="7" t="s">
        <v>78</v>
      </c>
      <c r="C14" s="7" t="s">
        <v>25</v>
      </c>
      <c r="D14" s="7" t="s">
        <v>26</v>
      </c>
      <c r="E14" s="7" t="s">
        <v>79</v>
      </c>
      <c r="F14" s="7" t="s">
        <v>28</v>
      </c>
      <c r="G14" s="7" t="s">
        <v>80</v>
      </c>
      <c r="J14" s="7" t="s">
        <v>87</v>
      </c>
      <c r="K14" s="7" t="s">
        <v>88</v>
      </c>
      <c r="L14" s="7" t="s">
        <v>89</v>
      </c>
      <c r="M14" s="7" t="s">
        <v>55</v>
      </c>
    </row>
    <row r="15" spans="1:14">
      <c r="A15" s="17">
        <v>1</v>
      </c>
      <c r="B15" s="3" t="s">
        <v>31</v>
      </c>
      <c r="C15" s="13">
        <v>480</v>
      </c>
      <c r="D15" s="19">
        <v>0</v>
      </c>
      <c r="E15" s="13">
        <v>40</v>
      </c>
      <c r="F15" s="17">
        <v>3</v>
      </c>
      <c r="G15" s="18" t="s">
        <v>81</v>
      </c>
      <c r="J15" s="3" t="s">
        <v>90</v>
      </c>
      <c r="K15" s="13">
        <v>4750</v>
      </c>
      <c r="L15" s="13">
        <v>14250</v>
      </c>
      <c r="M15" s="18" t="s">
        <v>91</v>
      </c>
    </row>
    <row r="16" spans="1:14">
      <c r="A16" s="17">
        <v>2</v>
      </c>
      <c r="B16" s="3" t="s">
        <v>34</v>
      </c>
      <c r="C16" s="13">
        <v>1250</v>
      </c>
      <c r="D16" s="19">
        <v>0.2999</v>
      </c>
      <c r="E16" s="13">
        <v>38</v>
      </c>
      <c r="F16" s="17">
        <v>8</v>
      </c>
      <c r="G16" s="18" t="s">
        <v>82</v>
      </c>
      <c r="J16" s="3" t="s">
        <v>92</v>
      </c>
      <c r="K16" s="13">
        <v>9500</v>
      </c>
      <c r="L16" s="13">
        <v>9500</v>
      </c>
      <c r="M16" s="18" t="s">
        <v>93</v>
      </c>
    </row>
    <row r="17" spans="1:14">
      <c r="A17" s="17">
        <v>3</v>
      </c>
      <c r="B17" s="3" t="s">
        <v>37</v>
      </c>
      <c r="C17" s="13">
        <v>5470</v>
      </c>
      <c r="D17" s="19">
        <v>0.2449</v>
      </c>
      <c r="E17" s="13">
        <v>164</v>
      </c>
      <c r="F17" s="17">
        <v>14</v>
      </c>
      <c r="G17" s="18" t="s">
        <v>83</v>
      </c>
      <c r="J17" s="3" t="s">
        <v>94</v>
      </c>
      <c r="K17" s="13">
        <v>14250</v>
      </c>
      <c r="L17" s="13">
        <v>4750</v>
      </c>
      <c r="M17" s="18" t="s">
        <v>84</v>
      </c>
    </row>
    <row r="18" spans="1:14">
      <c r="A18" s="17">
        <v>4</v>
      </c>
      <c r="B18" s="3" t="s">
        <v>39</v>
      </c>
      <c r="C18" s="13">
        <v>3600</v>
      </c>
      <c r="D18" s="19">
        <v>0.179</v>
      </c>
      <c r="E18" s="13">
        <v>108</v>
      </c>
      <c r="F18" s="17">
        <v>19</v>
      </c>
      <c r="G18" s="18" t="s">
        <v>84</v>
      </c>
      <c r="J18" s="3" t="s">
        <v>95</v>
      </c>
      <c r="K18" s="13">
        <v>19000</v>
      </c>
      <c r="L18" s="13">
        <v>0</v>
      </c>
      <c r="M18" s="18" t="s">
        <v>85</v>
      </c>
    </row>
    <row r="19" spans="1:14">
      <c r="A19" s="17">
        <v>5</v>
      </c>
      <c r="B19" s="3" t="s">
        <v>41</v>
      </c>
      <c r="C19" s="13">
        <v>8200</v>
      </c>
      <c r="D19" s="19">
        <v>0.1025</v>
      </c>
      <c r="E19" s="13">
        <v>216</v>
      </c>
      <c r="F19" s="17">
        <v>25</v>
      </c>
      <c r="G19" s="18" t="s">
        <v>85</v>
      </c>
    </row>
    <row r="21" spans="1:14">
      <c r="A21" s="16" t="s">
        <v>96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spans="1:14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</row>
  </sheetData>
  <mergeCells count="8">
    <mergeCell ref="A1:N1"/>
    <mergeCell ref="A2:N2"/>
    <mergeCell ref="A4:B4"/>
    <mergeCell ref="D4:E4"/>
    <mergeCell ref="G4:H4"/>
    <mergeCell ref="A13:G13"/>
    <mergeCell ref="J13:N13"/>
    <mergeCell ref="A21:N22"/>
  </mergeCells>
  <pageMargins left="0.3" right="0.3" top="0.35" bottom="0.35" header="0.3" footer="0.3"/>
  <pageSetup paperSize="9" orientation="landscape"/>
  <headerFooter>
    <oddFooter>&amp;LPrintable Payoff Overview&amp;CDebtPayoffSpreadsheet.org&amp;Rv1.0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B12"/>
  <sheetViews>
    <sheetView workbookViewId="0"/>
  </sheetViews>
  <sheetFormatPr defaultRowHeight="15"/>
  <cols>
    <col min="1" max="1" width="24.7109375" customWidth="1"/>
    <col min="2" max="2" width="88.7109375" customWidth="1"/>
  </cols>
  <sheetData>
    <row r="2" spans="1:2" ht="28" customHeight="1">
      <c r="A2" s="1" t="s">
        <v>97</v>
      </c>
      <c r="B2" s="1"/>
    </row>
    <row r="4" spans="1:2">
      <c r="A4" s="2" t="s">
        <v>98</v>
      </c>
      <c r="B4" s="20" t="s">
        <v>99</v>
      </c>
    </row>
    <row r="5" spans="1:2">
      <c r="B5" s="20" t="s">
        <v>100</v>
      </c>
    </row>
    <row r="6" spans="1:2">
      <c r="B6" s="20" t="s">
        <v>101</v>
      </c>
    </row>
    <row r="8" spans="1:2">
      <c r="A8" s="2" t="s">
        <v>102</v>
      </c>
      <c r="B8" s="20" t="s">
        <v>103</v>
      </c>
    </row>
    <row r="9" spans="1:2">
      <c r="B9" s="20" t="s">
        <v>104</v>
      </c>
    </row>
    <row r="12" spans="1:2">
      <c r="A12" s="2" t="s">
        <v>105</v>
      </c>
      <c r="B12" s="5" t="s">
        <v>19</v>
      </c>
    </row>
  </sheetData>
  <sheetProtection sheet="1" objects="1" scenarios="1"/>
  <mergeCells count="1">
    <mergeCell ref="A2:B2"/>
  </mergeCells>
  <hyperlinks>
    <hyperlink ref="B12" r:id="rId1"/>
  </hyperlinks>
  <pageMargins left="0.7" right="0.7" top="0.75" bottom="0.75" header="0.3" footer="0.3"/>
  <headerFooter>
    <oddFooter>&amp;LPrintable Payoff Overview&amp;CDebtPayoffSpreadsheet.org&amp;Rv1.0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20</vt:i4>
      </vt:variant>
    </vt:vector>
  </HeadingPairs>
  <TitlesOfParts>
    <vt:vector size="25" baseType="lpstr">
      <vt:lpstr>Start_Here</vt:lpstr>
      <vt:lpstr>Inputs</vt:lpstr>
      <vt:lpstr>Schedule</vt:lpstr>
      <vt:lpstr>Print_Overview</vt:lpstr>
      <vt:lpstr>Bonus_Tips</vt:lpstr>
      <vt:lpstr>CreditUnionCardAPR</vt:lpstr>
      <vt:lpstr>CreditUnionCardBalance</vt:lpstr>
      <vt:lpstr>CreditUnionCardMinPayment</vt:lpstr>
      <vt:lpstr>ExtraPayment</vt:lpstr>
      <vt:lpstr>MedicalPlanAPR</vt:lpstr>
      <vt:lpstr>MedicalPlanBalance</vt:lpstr>
      <vt:lpstr>MedicalPlanMinPayment</vt:lpstr>
      <vt:lpstr>PersonalLoanAPR</vt:lpstr>
      <vt:lpstr>PersonalLoanBalance</vt:lpstr>
      <vt:lpstr>PersonalLoanMinPayment</vt:lpstr>
      <vt:lpstr>Print_Overview!Print_Titles</vt:lpstr>
      <vt:lpstr>RewardsVisaAPR</vt:lpstr>
      <vt:lpstr>RewardsVisaBalance</vt:lpstr>
      <vt:lpstr>RewardsVisaMinPayment</vt:lpstr>
      <vt:lpstr>StartDate</vt:lpstr>
      <vt:lpstr>StoreCardAPR</vt:lpstr>
      <vt:lpstr>StoreCardBalance</vt:lpstr>
      <vt:lpstr>StoreCardMinPayment</vt:lpstr>
      <vt:lpstr>TotalDebt</vt:lpstr>
      <vt:lpstr>TotalMinimums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2026-03-09T16:34:47Z</dcterms:created>
  <dcterms:modified xsi:type="dcterms:W3CDTF">2026-03-09T16:34:47Z</dcterms:modified>
</cp:coreProperties>
</file>