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Hybrid_Schedule" sheetId="4" r:id="rId4"/>
    <sheet name="Second_Win_Map" sheetId="5" r:id="rId5"/>
    <sheet name="Bonus_Tips" sheetId="6" r:id="rId6"/>
  </sheets>
  <definedNames>
    <definedName name="AutoAPR">Inputs!$C$10</definedName>
    <definedName name="AutoBalance">Inputs!$B$10</definedName>
    <definedName name="AutoMinPayment">Inputs!$D$10</definedName>
    <definedName name="ExtraPayment">Inputs!$B$13</definedName>
    <definedName name="FurnitureAPR">Inputs!$C$6</definedName>
    <definedName name="FurnitureBalance">Inputs!$B$6</definedName>
    <definedName name="FurnitureMinPayment">Inputs!$D$6</definedName>
    <definedName name="MedicalAPR">Inputs!$C$5</definedName>
    <definedName name="MedicalBalance">Inputs!$B$5</definedName>
    <definedName name="MedicalMinPayment">Inputs!$D$5</definedName>
    <definedName name="PersonalAPR">Inputs!$C$9</definedName>
    <definedName name="PersonalBalance">Inputs!$B$9</definedName>
    <definedName name="PersonalMinPayment">Inputs!$D$9</definedName>
    <definedName name="StartDate">Inputs!$B$12</definedName>
    <definedName name="StoreAPR">Inputs!$C$7</definedName>
    <definedName name="StoreBalance">Inputs!$B$7</definedName>
    <definedName name="StoreMinPayment">Inputs!$D$7</definedName>
    <definedName name="TotalDebt">Inputs!$B$11</definedName>
    <definedName name="TotalMinimums">Inputs!$D$11</definedName>
    <definedName name="VisaAPR">Inputs!$C$8</definedName>
    <definedName name="VisaBalance">Inputs!$B$8</definedName>
    <definedName name="VisaMinPayment">Inputs!$D$8</definedName>
  </definedNames>
  <calcPr calcId="124519" fullCalcOnLoad="1"/>
</workbook>
</file>

<file path=xl/sharedStrings.xml><?xml version="1.0" encoding="utf-8"?>
<sst xmlns="http://schemas.openxmlformats.org/spreadsheetml/2006/main" count="173" uniqueCount="88">
  <si>
    <t>Debt Payoff Second Win Cost Map</t>
  </si>
  <si>
    <t>Website</t>
  </si>
  <si>
    <t>Debt Payoff Spreadsheet</t>
  </si>
  <si>
    <t>Who It Helps</t>
  </si>
  <si>
    <t>A milestone map for readers deciding whether a second quick win is worth leaving the expensive card alone for longer.</t>
  </si>
  <si>
    <t>About This Template</t>
  </si>
  <si>
    <t>This file compares only snowball and the one-win hybrid, because both methods clear the medical plan first.</t>
  </si>
  <si>
    <t>The split happens after June 2026: snowball chases the Furniture Loan next, while hybrid turns toward the 29.99% Store Card.</t>
  </si>
  <si>
    <t>Use this workbook when you want to price the emotional value of a second early payoff against the later cost on the Rewards Visa.</t>
  </si>
  <si>
    <t>How to Use</t>
  </si>
  <si>
    <t>1. Review the Inputs sheet first if you want the exact article scenario or want to test your own balances.</t>
  </si>
  <si>
    <t>2. Open Second_Win_Map to compare milestone dates and the Rewards Visa balance path under snowball and hybrid.</t>
  </si>
  <si>
    <t>3. Use the schedule sheets if you want to inspect the monthly math behind any payoff milestone in the map.</t>
  </si>
  <si>
    <t>4. Keep the extra-payment figure realistic. The second-win premium only means anything if the budget is repeatable.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</si>
  <si>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</si>
  <si>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</si>
  <si>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</si>
  <si>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</si>
  <si>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</si>
  <si>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</si>
  <si>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</si>
  <si>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</si>
  <si>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Payoff Second Win Cost Map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</si>
  <si>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</si>
  <si>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</si>
  <si>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</si>
  <si>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</si>
  <si>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</si>
  <si>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</si>
  <si>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</si>
  <si>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</si>
  <si>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</t>
  </si>
  <si>
    <t>Article sample values</t>
  </si>
  <si>
    <t>Furniture Loan</t>
  </si>
  <si>
    <t>Installment</t>
  </si>
  <si>
    <t>Store Card</t>
  </si>
  <si>
    <t>Credit card</t>
  </si>
  <si>
    <t>Rewards Visa</t>
  </si>
  <si>
    <t>Personal Loan</t>
  </si>
  <si>
    <t>Auto Loan</t>
  </si>
  <si>
    <t>Total</t>
  </si>
  <si>
    <t>Start Month</t>
  </si>
  <si>
    <t>Extra Monthly Payment</t>
  </si>
  <si>
    <t>Both methods clear the medical plan first. The decision point is whether to chase the $2,400 Furniture Loan next or pivot to the 29.99% Store Card.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</si>
  <si>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</si>
  <si>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</si>
  <si>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</si>
  <si>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</si>
  <si>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</si>
  <si>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</si>
  <si>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</si>
  <si>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</si>
  <si>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</si>
  <si>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</si>
  <si>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</si>
  <si>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</si>
  <si>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Hybrid Schedule</t>
  </si>
  <si>
    <t>What The Second Quick Win Costs</t>
  </si>
  <si>
    <t>Same first payoff</t>
  </si>
  <si>
    <t>Snowball second payoff</t>
  </si>
  <si>
    <t>Hybrid second payoff</t>
  </si>
  <si>
    <t>Snowball finish</t>
  </si>
  <si>
    <t>Hybrid finish</t>
  </si>
  <si>
    <t>Interest premium</t>
  </si>
  <si>
    <t>Snowball and hybrid both erase the $600 medical plan in June 2026. The difference starts right after that. Snowball chases the $2,400 Furniture Loan and gets a second payoff by February 2027, but the 29.99% Store Card waits until November 2027 and the Rewards Visa stays open until March 2029. That extra motivation costs $1,202.18 versus the one-win hybrid.</t>
  </si>
  <si>
    <t>Milestone</t>
  </si>
  <si>
    <t>Snowball</t>
  </si>
  <si>
    <t>Hybrid</t>
  </si>
  <si>
    <t>First payoff debt</t>
  </si>
  <si>
    <t>First payoff month</t>
  </si>
  <si>
    <t>Second payoff debt</t>
  </si>
  <si>
    <t>Second payoff month</t>
  </si>
  <si>
    <t>Rewards Visa paid</t>
  </si>
  <si>
    <t>Total interest</t>
  </si>
  <si>
    <t>Debt Payoff Second Win Cost Map Tips</t>
  </si>
  <si>
    <t>How To Read The Second Win</t>
  </si>
  <si>
    <t>- The first payoff is identical under both methods, so it does not explain the later gap.</t>
  </si>
  <si>
    <t>- The second payoff is where motivation and math start to diverge. Snowball gets a faster second win, but the expensive card waits much longer.</t>
  </si>
  <si>
    <t>- The Rewards Visa chart shows where that later cost hides. The card balance falls more slowly when snowball keeps it in line behind the Furniture Loan.</t>
  </si>
  <si>
    <t>What This File Helps You Decide</t>
  </si>
  <si>
    <t>- Choose snowball if the second quick win is worth more to you than $1,202.18 and one extra month in debt.</t>
  </si>
  <si>
    <t>- Choose the hybrid if one fast closure is enough to keep you engaged and you want most of avalanche's savings.</t>
  </si>
  <si>
    <t>- This is the practical middle ground between pretending motivation does not matter and paying any price for it.</t>
  </si>
  <si>
    <t>Limits To Keep In Mind</t>
  </si>
  <si>
    <t>- A different smallest debt can change this tradeoff a lot.</t>
  </si>
  <si>
    <t>- If the small balance carries a high APR, the second-win premium will usually be much larger than it is here.</t>
  </si>
  <si>
    <t>- The map shows the cost of order choice only. It does not solve a budget shortfall or new borrowing.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</si>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</sst>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Rewards Visa Balance In The First 24 Months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Snowball Rewards Visa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Snowball_Schedule!$B$5:$B$28</c:f>
              <c:strCache>
                <c:ptCount val="24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</c:strCache>
            </c:strRef>
          </c:cat>
          <c:val>
            <c:numRef>
              <c:f>Snowball_Schedule!$AF$5:$AF$28</c:f>
              <c:numCache>
                <c:formatCode>General</c:formatCode>
                <c:ptCount val="24"/>
                <c:pt idx="0">
                  <c:v>8932.43</c:v>
                </c:pt>
                <c:pt idx="1">
                  <c:v>8863.34</c:v>
                </c:pt>
                <c:pt idx="2">
                  <c:v>8792.69</c:v>
                </c:pt>
                <c:pt idx="3">
                  <c:v>8720.45</c:v>
                </c:pt>
                <c:pt idx="4">
                  <c:v>8646.59</c:v>
                </c:pt>
                <c:pt idx="5">
                  <c:v>8571.07</c:v>
                </c:pt>
                <c:pt idx="6">
                  <c:v>8493.85</c:v>
                </c:pt>
                <c:pt idx="7">
                  <c:v>8414.89</c:v>
                </c:pt>
                <c:pt idx="8">
                  <c:v>8334.15</c:v>
                </c:pt>
                <c:pt idx="9">
                  <c:v>8251.6</c:v>
                </c:pt>
                <c:pt idx="10">
                  <c:v>8167.19</c:v>
                </c:pt>
                <c:pt idx="11">
                  <c:v>8080.88</c:v>
                </c:pt>
                <c:pt idx="12">
                  <c:v>7992.63</c:v>
                </c:pt>
                <c:pt idx="13">
                  <c:v>7902.4</c:v>
                </c:pt>
                <c:pt idx="14">
                  <c:v>7810.14</c:v>
                </c:pt>
                <c:pt idx="15">
                  <c:v>7715.8</c:v>
                </c:pt>
                <c:pt idx="16">
                  <c:v>7619.34</c:v>
                </c:pt>
                <c:pt idx="17">
                  <c:v>7520.71</c:v>
                </c:pt>
                <c:pt idx="18">
                  <c:v>7419.86</c:v>
                </c:pt>
                <c:pt idx="19">
                  <c:v>7316.75</c:v>
                </c:pt>
                <c:pt idx="20">
                  <c:v>7211.32</c:v>
                </c:pt>
                <c:pt idx="21">
                  <c:v>7103.51</c:v>
                </c:pt>
                <c:pt idx="22">
                  <c:v>6993.28</c:v>
                </c:pt>
                <c:pt idx="23">
                  <c:v>6880.57</c:v>
                </c:pt>
              </c:numCache>
            </c:numRef>
          </c:val>
        </c:ser>
        <c:ser>
          <c:idx val="1"/>
          <c:order val="1"/>
          <c:tx>
            <c:v>Hybrid Rewards Visa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Hybrid_Schedule!$B$5:$B$28</c:f>
              <c:strCache>
                <c:ptCount val="24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</c:strCache>
            </c:strRef>
          </c:cat>
          <c:val>
            <c:numRef>
              <c:f>Hybrid_Schedule!$Q$5:$Q$28</c:f>
              <c:numCache>
                <c:formatCode>General</c:formatCode>
                <c:ptCount val="24"/>
                <c:pt idx="0">
                  <c:v>8932.43</c:v>
                </c:pt>
                <c:pt idx="1">
                  <c:v>8863.34</c:v>
                </c:pt>
                <c:pt idx="2">
                  <c:v>8792.69</c:v>
                </c:pt>
                <c:pt idx="3">
                  <c:v>8720.45</c:v>
                </c:pt>
                <c:pt idx="4">
                  <c:v>8646.59</c:v>
                </c:pt>
                <c:pt idx="5">
                  <c:v>8571.07</c:v>
                </c:pt>
                <c:pt idx="6">
                  <c:v>8493.85</c:v>
                </c:pt>
                <c:pt idx="7">
                  <c:v>8414.89</c:v>
                </c:pt>
                <c:pt idx="8">
                  <c:v>8334.15</c:v>
                </c:pt>
                <c:pt idx="9">
                  <c:v>8251.6</c:v>
                </c:pt>
                <c:pt idx="10">
                  <c:v>8167.19</c:v>
                </c:pt>
                <c:pt idx="11">
                  <c:v>8080.88</c:v>
                </c:pt>
                <c:pt idx="12">
                  <c:v>7992.63</c:v>
                </c:pt>
                <c:pt idx="13">
                  <c:v>7902.4</c:v>
                </c:pt>
                <c:pt idx="14">
                  <c:v>7714.18</c:v>
                </c:pt>
                <c:pt idx="15">
                  <c:v>7307.68</c:v>
                </c:pt>
                <c:pt idx="16">
                  <c:v>6892.04</c:v>
                </c:pt>
                <c:pt idx="17">
                  <c:v>6467.05</c:v>
                </c:pt>
                <c:pt idx="18">
                  <c:v>6032.5</c:v>
                </c:pt>
                <c:pt idx="19">
                  <c:v>5588.18</c:v>
                </c:pt>
                <c:pt idx="20">
                  <c:v>5133.87</c:v>
                </c:pt>
                <c:pt idx="21">
                  <c:v>4669.34</c:v>
                </c:pt>
                <c:pt idx="22">
                  <c:v>4194.36</c:v>
                </c:pt>
                <c:pt idx="23">
                  <c:v>3708.7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10</xdr:col>
      <xdr:colOff>247650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econd-win-cost-map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Payoff Second Win Cost Map&amp;CDebtPayoffSpreadsheet.org&amp;Rv1.0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4" width="14.7109375" customWidth="1"/>
    <col min="5" max="5" width="16.7109375" customWidth="1"/>
    <col min="6" max="6" width="26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600</v>
      </c>
      <c r="C5" s="10">
        <v>0</v>
      </c>
      <c r="D5" s="9">
        <v>50</v>
      </c>
      <c r="E5" s="3" t="s">
        <v>31</v>
      </c>
      <c r="F5" s="3" t="s">
        <v>32</v>
      </c>
    </row>
    <row r="6" spans="1:6">
      <c r="A6" s="8" t="s">
        <v>33</v>
      </c>
      <c r="B6" s="9">
        <v>2400</v>
      </c>
      <c r="C6" s="10">
        <v>0.0999</v>
      </c>
      <c r="D6" s="9">
        <v>72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0.2999</v>
      </c>
      <c r="D7" s="9">
        <v>96</v>
      </c>
      <c r="E7" s="3" t="s">
        <v>36</v>
      </c>
      <c r="F7" s="3" t="s">
        <v>32</v>
      </c>
    </row>
    <row r="8" spans="1:6">
      <c r="A8" s="8" t="s">
        <v>37</v>
      </c>
      <c r="B8" s="9">
        <v>9000</v>
      </c>
      <c r="C8" s="10">
        <v>0.2699</v>
      </c>
      <c r="D8" s="9">
        <v>270</v>
      </c>
      <c r="E8" s="3" t="s">
        <v>36</v>
      </c>
      <c r="F8" s="3" t="s">
        <v>32</v>
      </c>
    </row>
    <row r="9" spans="1:6">
      <c r="A9" s="8" t="s">
        <v>38</v>
      </c>
      <c r="B9" s="9">
        <v>5000</v>
      </c>
      <c r="C9" s="10">
        <v>0.1349</v>
      </c>
      <c r="D9" s="9">
        <v>154</v>
      </c>
      <c r="E9" s="3" t="s">
        <v>34</v>
      </c>
      <c r="F9" s="3" t="s">
        <v>32</v>
      </c>
    </row>
    <row r="10" spans="1:6">
      <c r="A10" s="8" t="s">
        <v>39</v>
      </c>
      <c r="B10" s="9">
        <v>6800</v>
      </c>
      <c r="C10" s="10">
        <v>0.0649</v>
      </c>
      <c r="D10" s="9">
        <v>194</v>
      </c>
      <c r="E10" s="3" t="s">
        <v>34</v>
      </c>
      <c r="F10" s="3" t="s">
        <v>32</v>
      </c>
    </row>
    <row r="11" spans="1:6">
      <c r="A11" s="11" t="s">
        <v>40</v>
      </c>
      <c r="B11" s="12">
        <f>SUM(B5:B10)</f>
        <v>27000.0</v>
      </c>
      <c r="C11" s="11"/>
      <c r="D11" s="12">
        <f>SUM(D5:D10)</f>
        <v>836.0</v>
      </c>
      <c r="E11" s="11"/>
      <c r="F11" s="11"/>
    </row>
    <row r="12" spans="1:6">
      <c r="A12" s="13" t="s">
        <v>41</v>
      </c>
      <c r="B12" s="14">
        <v>46113</v>
      </c>
      <c r="D12" s="15" t="s">
        <v>43</v>
      </c>
      <c r="E12" s="15"/>
      <c r="F12" s="15"/>
    </row>
    <row r="13" spans="1:6">
      <c r="A13" s="13" t="s">
        <v>42</v>
      </c>
      <c r="B13" s="9">
        <v>164</v>
      </c>
      <c r="D13" s="15"/>
      <c r="E13" s="15"/>
      <c r="F13" s="15"/>
    </row>
  </sheetData>
  <mergeCells count="3">
    <mergeCell ref="A1:F1"/>
    <mergeCell ref="A2:F2"/>
    <mergeCell ref="D12:F13"/>
  </mergeCells>
  <pageMargins left="0.7" right="0.7" top="0.75" bottom="0.75" header="0.3" footer="0.3"/>
  <headerFooter>
    <oddFooter>&amp;LDebt Payoff Second Win Cost Map&amp;CDebtPayoffSpreadsheet.org&amp;Rv1.0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I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39</v>
      </c>
      <c r="X3" s="11"/>
      <c r="Y3" s="11"/>
      <c r="Z3" s="11"/>
      <c r="AA3" s="11"/>
      <c r="AB3" s="11" t="s">
        <v>37</v>
      </c>
      <c r="AC3" s="11"/>
      <c r="AD3" s="11"/>
      <c r="AE3" s="11"/>
      <c r="AF3" s="11"/>
    </row>
    <row r="4" spans="1:35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44</v>
      </c>
      <c r="AC4" s="7" t="s">
        <v>45</v>
      </c>
      <c r="AD4" s="7" t="s">
        <v>46</v>
      </c>
      <c r="AE4" s="7" t="s">
        <v>47</v>
      </c>
      <c r="AF4" s="7" t="s">
        <v>48</v>
      </c>
      <c r="AG4" s="7" t="s">
        <v>53</v>
      </c>
      <c r="AH4" s="7" t="s">
        <v>54</v>
      </c>
      <c r="AI4" s="7" t="s">
        <v>55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MedicalBalance</f>
        <v>600.0</v>
      </c>
      <c r="D5" s="12">
        <f>ROUND(IF($C$5&lt;=0,0,$C$5*MedicalAPR/12),2)</f>
        <v>0.0</v>
      </c>
      <c r="E5" s="12">
        <f>ROUND(IF($C$5&lt;=0,0,MIN(MedicalMinPayment,$C$5+$D$5)),2)</f>
        <v>50.0</v>
      </c>
      <c r="F5" s="12">
        <f>ROUND(IF($C$5&lt;=0,0,MIN(MAX(0,$C$5+$D$5-$E$5),$AG$5)),2)</f>
        <v>164.0</v>
      </c>
      <c r="G5" s="12">
        <f>ROUND(MAX(0,$C$5+$D$5-$E$5-$F$5),2)</f>
        <v>386.0</v>
      </c>
      <c r="H5" s="12">
        <f>FurnitureBalance</f>
        <v>2400.0</v>
      </c>
      <c r="I5" s="12">
        <f>ROUND(IF($H$5&lt;=0,0,$H$5*FurnitureAPR/12),2)</f>
        <v>19.98</v>
      </c>
      <c r="J5" s="12">
        <f>ROUND(IF($H$5&lt;=0,0,MIN(FurnitureMinPayment,$H$5+$I$5)),2)</f>
        <v>72.0</v>
      </c>
      <c r="K5" s="12">
        <f>ROUND(IF($H$5&lt;=0,0,MIN(MAX(0,$H$5+$I$5-$J$5),MAX(0,$AG$5-$F$5))),2)</f>
        <v>0.0</v>
      </c>
      <c r="L5" s="12">
        <f>ROUND(MAX(0,$H$5+$I$5-$J$5-$K$5),2)</f>
        <v>2347.98</v>
      </c>
      <c r="M5" s="12">
        <f>StoreBalance</f>
        <v>3200.0</v>
      </c>
      <c r="N5" s="12">
        <f>ROUND(IF($M$5&lt;=0,0,$M$5*StoreAPR/12),2)</f>
        <v>79.97</v>
      </c>
      <c r="O5" s="12">
        <f>ROUND(IF($M$5&lt;=0,0,MIN(StoreMinPayment,$M$5+$N$5)),2)</f>
        <v>96.0</v>
      </c>
      <c r="P5" s="12">
        <f>ROUND(IF($M$5&lt;=0,0,MIN(MAX(0,$M$5+$N$5-$O$5),MAX(0,$AG$5-$F$5-$K$5))),2)</f>
        <v>0.0</v>
      </c>
      <c r="Q5" s="12">
        <f>ROUND(MAX(0,$M$5+$N$5-$O$5-$P$5),2)</f>
        <v>3183.97</v>
      </c>
      <c r="R5" s="12">
        <f>PersonalBalance</f>
        <v>5000.0</v>
      </c>
      <c r="S5" s="12">
        <f>ROUND(IF($R$5&lt;=0,0,$R$5*PersonalAPR/12),2)</f>
        <v>56.21</v>
      </c>
      <c r="T5" s="12">
        <f>ROUND(IF($R$5&lt;=0,0,MIN(PersonalMinPayment,$R$5+$S$5)),2)</f>
        <v>154.0</v>
      </c>
      <c r="U5" s="12">
        <f>ROUND(IF($R$5&lt;=0,0,MIN(MAX(0,$R$5+$S$5-$T$5),MAX(0,$AG$5-$F$5-$K$5-$P$5))),2)</f>
        <v>0.0</v>
      </c>
      <c r="V5" s="12">
        <f>ROUND(MAX(0,$R$5+$S$5-$T$5-$U$5),2)</f>
        <v>4902.21</v>
      </c>
      <c r="W5" s="12">
        <f>AutoBalance</f>
        <v>6800.0</v>
      </c>
      <c r="X5" s="12">
        <f>ROUND(IF($W$5&lt;=0,0,$W$5*AutoAPR/12),2)</f>
        <v>36.78</v>
      </c>
      <c r="Y5" s="12">
        <f>ROUND(IF($W$5&lt;=0,0,MIN(AutoMinPayment,$W$5+$X$5)),2)</f>
        <v>194.0</v>
      </c>
      <c r="Z5" s="12">
        <f>ROUND(IF($W$5&lt;=0,0,MIN(MAX(0,$W$5+$X$5-$Y$5),MAX(0,$AG$5-$F$5-$K$5-$P$5-$U$5))),2)</f>
        <v>0.0</v>
      </c>
      <c r="AA5" s="12">
        <f>ROUND(MAX(0,$W$5+$X$5-$Y$5-$Z$5),2)</f>
        <v>6642.78</v>
      </c>
      <c r="AB5" s="12">
        <f>VisaBalance</f>
        <v>9000.0</v>
      </c>
      <c r="AC5" s="12">
        <f>ROUND(IF($AB$5&lt;=0,0,$AB$5*VisaAPR/12),2)</f>
        <v>202.43</v>
      </c>
      <c r="AD5" s="12">
        <f>ROUND(IF($AB$5&lt;=0,0,MIN(VisaMinPayment,$AB$5+$AC$5)),2)</f>
        <v>270.0</v>
      </c>
      <c r="AE5" s="12">
        <f>ROUND(IF($AB$5&lt;=0,0,MIN(MAX(0,$AB$5+$AC$5-$AD$5),MAX(0,$AG$5-$F$5-$K$5-$P$5-$U$5-$Z$5))),2)</f>
        <v>0.0</v>
      </c>
      <c r="AF5" s="12">
        <f>ROUND(MAX(0,$AB$5+$AC$5-$AD$5-$AE$5),2)</f>
        <v>8932.43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386.0</v>
      </c>
      <c r="D6" s="12">
        <f>ROUND(IF($C$6&lt;=0,0,$C$6*MedicalAPR/12),2)</f>
        <v>0.0</v>
      </c>
      <c r="E6" s="12">
        <f>ROUND(IF($C$6&lt;=0,0,MIN(MedicalMinPayment,$C$6+$D$6)),2)</f>
        <v>50.0</v>
      </c>
      <c r="F6" s="12">
        <f>ROUND(IF($C$6&lt;=0,0,MIN(MAX(0,$C$6+$D$6-$E$6),$AG$6)),2)</f>
        <v>164.0</v>
      </c>
      <c r="G6" s="12">
        <f>ROUND(MAX(0,$C$6+$D$6-$E$6-$F$6),2)</f>
        <v>172.0</v>
      </c>
      <c r="H6" s="12">
        <f>$L$5</f>
        <v>2347.98</v>
      </c>
      <c r="I6" s="12">
        <f>ROUND(IF($H$6&lt;=0,0,$H$6*FurnitureAPR/12),2)</f>
        <v>19.55</v>
      </c>
      <c r="J6" s="12">
        <f>ROUND(IF($H$6&lt;=0,0,MIN(FurnitureMinPayment,$H$6+$I$6)),2)</f>
        <v>72.0</v>
      </c>
      <c r="K6" s="12">
        <f>ROUND(IF($H$6&lt;=0,0,MIN(MAX(0,$H$6+$I$6-$J$6),MAX(0,$AG$6-$F$6))),2)</f>
        <v>0.0</v>
      </c>
      <c r="L6" s="12">
        <f>ROUND(MAX(0,$H$6+$I$6-$J$6-$K$6),2)</f>
        <v>2295.53</v>
      </c>
      <c r="M6" s="12">
        <f>$Q$5</f>
        <v>3183.97</v>
      </c>
      <c r="N6" s="12">
        <f>ROUND(IF($M$6&lt;=0,0,$M$6*StoreAPR/12),2)</f>
        <v>79.57</v>
      </c>
      <c r="O6" s="12">
        <f>ROUND(IF($M$6&lt;=0,0,MIN(StoreMinPayment,$M$6+$N$6)),2)</f>
        <v>96.0</v>
      </c>
      <c r="P6" s="12">
        <f>ROUND(IF($M$6&lt;=0,0,MIN(MAX(0,$M$6+$N$6-$O$6),MAX(0,$AG$6-$F$6-$K$6))),2)</f>
        <v>0.0</v>
      </c>
      <c r="Q6" s="12">
        <f>ROUND(MAX(0,$M$6+$N$6-$O$6-$P$6),2)</f>
        <v>3167.54</v>
      </c>
      <c r="R6" s="12">
        <f>$V$5</f>
        <v>4902.21</v>
      </c>
      <c r="S6" s="12">
        <f>ROUND(IF($R$6&lt;=0,0,$R$6*PersonalAPR/12),2)</f>
        <v>55.11</v>
      </c>
      <c r="T6" s="12">
        <f>ROUND(IF($R$6&lt;=0,0,MIN(PersonalMinPayment,$R$6+$S$6)),2)</f>
        <v>154.0</v>
      </c>
      <c r="U6" s="12">
        <f>ROUND(IF($R$6&lt;=0,0,MIN(MAX(0,$R$6+$S$6-$T$6),MAX(0,$AG$6-$F$6-$K$6-$P$6))),2)</f>
        <v>0.0</v>
      </c>
      <c r="V6" s="12">
        <f>ROUND(MAX(0,$R$6+$S$6-$T$6-$U$6),2)</f>
        <v>4803.32</v>
      </c>
      <c r="W6" s="12">
        <f>$AA$5</f>
        <v>6642.78</v>
      </c>
      <c r="X6" s="12">
        <f>ROUND(IF($W$6&lt;=0,0,$W$6*AutoAPR/12),2)</f>
        <v>35.93</v>
      </c>
      <c r="Y6" s="12">
        <f>ROUND(IF($W$6&lt;=0,0,MIN(AutoMinPayment,$W$6+$X$6)),2)</f>
        <v>194.0</v>
      </c>
      <c r="Z6" s="12">
        <f>ROUND(IF($W$6&lt;=0,0,MIN(MAX(0,$W$6+$X$6-$Y$6),MAX(0,$AG$6-$F$6-$K$6-$P$6-$U$6))),2)</f>
        <v>0.0</v>
      </c>
      <c r="AA6" s="12">
        <f>ROUND(MAX(0,$W$6+$X$6-$Y$6-$Z$6),2)</f>
        <v>6484.71</v>
      </c>
      <c r="AB6" s="12">
        <f>$AF$5</f>
        <v>8932.43</v>
      </c>
      <c r="AC6" s="12">
        <f>ROUND(IF($AB$6&lt;=0,0,$AB$6*VisaAPR/12),2)</f>
        <v>200.91</v>
      </c>
      <c r="AD6" s="12">
        <f>ROUND(IF($AB$6&lt;=0,0,MIN(VisaMinPayment,$AB$6+$AC$6)),2)</f>
        <v>270.0</v>
      </c>
      <c r="AE6" s="12">
        <f>ROUND(IF($AB$6&lt;=0,0,MIN(MAX(0,$AB$6+$AC$6-$AD$6),MAX(0,$AG$6-$F$6-$K$6-$P$6-$U$6-$Z$6))),2)</f>
        <v>0.0</v>
      </c>
      <c r="AF6" s="12">
        <f>ROUND(MAX(0,$AB$6+$AC$6-$AD$6-$AE$6),2)</f>
        <v>8863.34</v>
      </c>
      <c r="AG6" s="12">
        <f>ROUND(ExtraPayment+IF($G$5&lt;=0,MedicalMinPayment,0)+IF($L$5&lt;=0,FurnitureMinPayment,0)+IF($Q$5&lt;=0,StoreMinPayment,0)+IF($V$5&lt;=0,PersonalMinPayment,0)+IF($AA$5&lt;=0,AutoMinPayment,0)+IF($AF$5&lt;=0,VisaMinPayment,0),2)</f>
        <v>164.0</v>
      </c>
      <c r="AH6" s="12">
        <f>ROUND(SUM($D$6,$I$6,$N$6,$S$6,$X$6,$AC$6),2)</f>
        <v>391.07</v>
      </c>
      <c r="AI6" s="12">
        <f>ROUND(SUM($G$6,$L$6,$Q$6,$V$6,$AA$6,$AF$6),2)</f>
        <v>25786.44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172.0</v>
      </c>
      <c r="D7" s="12">
        <f>ROUND(IF($C$7&lt;=0,0,$C$7*MedicalAPR/12),2)</f>
        <v>0.0</v>
      </c>
      <c r="E7" s="12">
        <f>ROUND(IF($C$7&lt;=0,0,MIN(MedicalMinPayment,$C$7+$D$7)),2)</f>
        <v>50.0</v>
      </c>
      <c r="F7" s="12">
        <f>ROUND(IF($C$7&lt;=0,0,MIN(MAX(0,$C$7+$D$7-$E$7),$AG$7)),2)</f>
        <v>122.0</v>
      </c>
      <c r="G7" s="12">
        <f>ROUND(MAX(0,$C$7+$D$7-$E$7-$F$7),2)</f>
        <v>0.0</v>
      </c>
      <c r="H7" s="12">
        <f>$L$6</f>
        <v>2295.53</v>
      </c>
      <c r="I7" s="12">
        <f>ROUND(IF($H$7&lt;=0,0,$H$7*FurnitureAPR/12),2)</f>
        <v>19.11</v>
      </c>
      <c r="J7" s="12">
        <f>ROUND(IF($H$7&lt;=0,0,MIN(FurnitureMinPayment,$H$7+$I$7)),2)</f>
        <v>72.0</v>
      </c>
      <c r="K7" s="12">
        <f>ROUND(IF($H$7&lt;=0,0,MIN(MAX(0,$H$7+$I$7-$J$7),MAX(0,$AG$7-$F$7))),2)</f>
        <v>42.0</v>
      </c>
      <c r="L7" s="12">
        <f>ROUND(MAX(0,$H$7+$I$7-$J$7-$K$7),2)</f>
        <v>2200.64</v>
      </c>
      <c r="M7" s="12">
        <f>$Q$6</f>
        <v>3167.54</v>
      </c>
      <c r="N7" s="12">
        <f>ROUND(IF($M$7&lt;=0,0,$M$7*StoreAPR/12),2)</f>
        <v>79.16</v>
      </c>
      <c r="O7" s="12">
        <f>ROUND(IF($M$7&lt;=0,0,MIN(StoreMinPayment,$M$7+$N$7)),2)</f>
        <v>96.0</v>
      </c>
      <c r="P7" s="12">
        <f>ROUND(IF($M$7&lt;=0,0,MIN(MAX(0,$M$7+$N$7-$O$7),MAX(0,$AG$7-$F$7-$K$7))),2)</f>
        <v>0.0</v>
      </c>
      <c r="Q7" s="12">
        <f>ROUND(MAX(0,$M$7+$N$7-$O$7-$P$7),2)</f>
        <v>3150.7</v>
      </c>
      <c r="R7" s="12">
        <f>$V$6</f>
        <v>4803.32</v>
      </c>
      <c r="S7" s="12">
        <f>ROUND(IF($R$7&lt;=0,0,$R$7*PersonalAPR/12),2)</f>
        <v>54.0</v>
      </c>
      <c r="T7" s="12">
        <f>ROUND(IF($R$7&lt;=0,0,MIN(PersonalMinPayment,$R$7+$S$7)),2)</f>
        <v>154.0</v>
      </c>
      <c r="U7" s="12">
        <f>ROUND(IF($R$7&lt;=0,0,MIN(MAX(0,$R$7+$S$7-$T$7),MAX(0,$AG$7-$F$7-$K$7-$P$7))),2)</f>
        <v>0.0</v>
      </c>
      <c r="V7" s="12">
        <f>ROUND(MAX(0,$R$7+$S$7-$T$7-$U$7),2)</f>
        <v>4703.32</v>
      </c>
      <c r="W7" s="12">
        <f>$AA$6</f>
        <v>6484.71</v>
      </c>
      <c r="X7" s="12">
        <f>ROUND(IF($W$7&lt;=0,0,$W$7*AutoAPR/12),2)</f>
        <v>35.07</v>
      </c>
      <c r="Y7" s="12">
        <f>ROUND(IF($W$7&lt;=0,0,MIN(AutoMinPayment,$W$7+$X$7)),2)</f>
        <v>194.0</v>
      </c>
      <c r="Z7" s="12">
        <f>ROUND(IF($W$7&lt;=0,0,MIN(MAX(0,$W$7+$X$7-$Y$7),MAX(0,$AG$7-$F$7-$K$7-$P$7-$U$7))),2)</f>
        <v>0.0</v>
      </c>
      <c r="AA7" s="12">
        <f>ROUND(MAX(0,$W$7+$X$7-$Y$7-$Z$7),2)</f>
        <v>6325.78</v>
      </c>
      <c r="AB7" s="12">
        <f>$AF$6</f>
        <v>8863.34</v>
      </c>
      <c r="AC7" s="12">
        <f>ROUND(IF($AB$7&lt;=0,0,$AB$7*VisaAPR/12),2)</f>
        <v>199.35</v>
      </c>
      <c r="AD7" s="12">
        <f>ROUND(IF($AB$7&lt;=0,0,MIN(VisaMinPayment,$AB$7+$AC$7)),2)</f>
        <v>270.0</v>
      </c>
      <c r="AE7" s="12">
        <f>ROUND(IF($AB$7&lt;=0,0,MIN(MAX(0,$AB$7+$AC$7-$AD$7),MAX(0,$AG$7-$F$7-$K$7-$P$7-$U$7-$Z$7))),2)</f>
        <v>0.0</v>
      </c>
      <c r="AF7" s="12">
        <f>ROUND(MAX(0,$AB$7+$AC$7-$AD$7-$AE$7),2)</f>
        <v>8792.69</v>
      </c>
      <c r="AG7" s="12">
        <f>ROUND(ExtraPayment+IF($G$6&lt;=0,MedicalMinPayment,0)+IF($L$6&lt;=0,FurnitureMinPayment,0)+IF($Q$6&lt;=0,StoreMinPayment,0)+IF($V$6&lt;=0,PersonalMinPayment,0)+IF($AA$6&lt;=0,AutoMinPayment,0)+IF($AF$6&lt;=0,VisaMinPayment,0),2)</f>
        <v>164.0</v>
      </c>
      <c r="AH7" s="12">
        <f>ROUND(SUM($D$7,$I$7,$N$7,$S$7,$X$7,$AC$7),2)</f>
        <v>386.69</v>
      </c>
      <c r="AI7" s="12">
        <f>ROUND(SUM($G$7,$L$7,$Q$7,$V$7,$AA$7,$AF$7),2)</f>
        <v>25173.13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ROUND(IF($C$8&lt;=0,0,$C$8*MedicalAPR/12),2)</f>
        <v>0.0</v>
      </c>
      <c r="E8" s="12">
        <f>ROUND(IF($C$8&lt;=0,0,MIN(MedicalMinPayment,$C$8+$D$8)),2)</f>
        <v>0.0</v>
      </c>
      <c r="F8" s="12">
        <f>ROUND(IF($C$8&lt;=0,0,MIN(MAX(0,$C$8+$D$8-$E$8),$AG$8)),2)</f>
        <v>0.0</v>
      </c>
      <c r="G8" s="12">
        <f>ROUND(MAX(0,$C$8+$D$8-$E$8-$F$8),2)</f>
        <v>0.0</v>
      </c>
      <c r="H8" s="12">
        <f>$L$7</f>
        <v>2200.64</v>
      </c>
      <c r="I8" s="12">
        <f>ROUND(IF($H$8&lt;=0,0,$H$8*FurnitureAPR/12),2)</f>
        <v>18.32</v>
      </c>
      <c r="J8" s="12">
        <f>ROUND(IF($H$8&lt;=0,0,MIN(FurnitureMinPayment,$H$8+$I$8)),2)</f>
        <v>72.0</v>
      </c>
      <c r="K8" s="12">
        <f>ROUND(IF($H$8&lt;=0,0,MIN(MAX(0,$H$8+$I$8-$J$8),MAX(0,$AG$8-$F$8))),2)</f>
        <v>214.0</v>
      </c>
      <c r="L8" s="12">
        <f>ROUND(MAX(0,$H$8+$I$8-$J$8-$K$8),2)</f>
        <v>1932.96</v>
      </c>
      <c r="M8" s="12">
        <f>$Q$7</f>
        <v>3150.7</v>
      </c>
      <c r="N8" s="12">
        <f>ROUND(IF($M$8&lt;=0,0,$M$8*StoreAPR/12),2)</f>
        <v>78.74</v>
      </c>
      <c r="O8" s="12">
        <f>ROUND(IF($M$8&lt;=0,0,MIN(StoreMinPayment,$M$8+$N$8)),2)</f>
        <v>96.0</v>
      </c>
      <c r="P8" s="12">
        <f>ROUND(IF($M$8&lt;=0,0,MIN(MAX(0,$M$8+$N$8-$O$8),MAX(0,$AG$8-$F$8-$K$8))),2)</f>
        <v>0.0</v>
      </c>
      <c r="Q8" s="12">
        <f>ROUND(MAX(0,$M$8+$N$8-$O$8-$P$8),2)</f>
        <v>3133.44</v>
      </c>
      <c r="R8" s="12">
        <f>$V$7</f>
        <v>4703.32</v>
      </c>
      <c r="S8" s="12">
        <f>ROUND(IF($R$8&lt;=0,0,$R$8*PersonalAPR/12),2)</f>
        <v>52.87</v>
      </c>
      <c r="T8" s="12">
        <f>ROUND(IF($R$8&lt;=0,0,MIN(PersonalMinPayment,$R$8+$S$8)),2)</f>
        <v>154.0</v>
      </c>
      <c r="U8" s="12">
        <f>ROUND(IF($R$8&lt;=0,0,MIN(MAX(0,$R$8+$S$8-$T$8),MAX(0,$AG$8-$F$8-$K$8-$P$8))),2)</f>
        <v>0.0</v>
      </c>
      <c r="V8" s="12">
        <f>ROUND(MAX(0,$R$8+$S$8-$T$8-$U$8),2)</f>
        <v>4602.19</v>
      </c>
      <c r="W8" s="12">
        <f>$AA$7</f>
        <v>6325.78</v>
      </c>
      <c r="X8" s="12">
        <f>ROUND(IF($W$8&lt;=0,0,$W$8*AutoAPR/12),2)</f>
        <v>34.21</v>
      </c>
      <c r="Y8" s="12">
        <f>ROUND(IF($W$8&lt;=0,0,MIN(AutoMinPayment,$W$8+$X$8)),2)</f>
        <v>194.0</v>
      </c>
      <c r="Z8" s="12">
        <f>ROUND(IF($W$8&lt;=0,0,MIN(MAX(0,$W$8+$X$8-$Y$8),MAX(0,$AG$8-$F$8-$K$8-$P$8-$U$8))),2)</f>
        <v>0.0</v>
      </c>
      <c r="AA8" s="12">
        <f>ROUND(MAX(0,$W$8+$X$8-$Y$8-$Z$8),2)</f>
        <v>6165.99</v>
      </c>
      <c r="AB8" s="12">
        <f>$AF$7</f>
        <v>8792.69</v>
      </c>
      <c r="AC8" s="12">
        <f>ROUND(IF($AB$8&lt;=0,0,$AB$8*VisaAPR/12),2)</f>
        <v>197.76</v>
      </c>
      <c r="AD8" s="12">
        <f>ROUND(IF($AB$8&lt;=0,0,MIN(VisaMinPayment,$AB$8+$AC$8)),2)</f>
        <v>270.0</v>
      </c>
      <c r="AE8" s="12">
        <f>ROUND(IF($AB$8&lt;=0,0,MIN(MAX(0,$AB$8+$AC$8-$AD$8),MAX(0,$AG$8-$F$8-$K$8-$P$8-$U$8-$Z$8))),2)</f>
        <v>0.0</v>
      </c>
      <c r="AF8" s="12">
        <f>ROUND(MAX(0,$AB$8+$AC$8-$AD$8-$AE$8),2)</f>
        <v>8720.45</v>
      </c>
      <c r="AG8" s="12">
        <f>ROUND(ExtraPayment+IF($G$7&lt;=0,MedicalMinPayment,0)+IF($L$7&lt;=0,FurnitureMinPayment,0)+IF($Q$7&lt;=0,StoreMinPayment,0)+IF($V$7&lt;=0,PersonalMinPayment,0)+IF($AA$7&lt;=0,AutoMinPayment,0)+IF($AF$7&lt;=0,VisaMinPayment,0),2)</f>
        <v>214.0</v>
      </c>
      <c r="AH8" s="12">
        <f>ROUND(SUM($D$8,$I$8,$N$8,$S$8,$X$8,$AC$8),2)</f>
        <v>381.9</v>
      </c>
      <c r="AI8" s="12">
        <f>ROUND(SUM($G$8,$L$8,$Q$8,$V$8,$AA$8,$AF$8),2)</f>
        <v>24555.03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ROUND(IF($C$9&lt;=0,0,$C$9*MedicalAPR/12),2)</f>
        <v>0.0</v>
      </c>
      <c r="E9" s="12">
        <f>ROUND(IF($C$9&lt;=0,0,MIN(MedicalMinPayment,$C$9+$D$9)),2)</f>
        <v>0.0</v>
      </c>
      <c r="F9" s="12">
        <f>ROUND(IF($C$9&lt;=0,0,MIN(MAX(0,$C$9+$D$9-$E$9),$AG$9)),2)</f>
        <v>0.0</v>
      </c>
      <c r="G9" s="12">
        <f>ROUND(MAX(0,$C$9+$D$9-$E$9-$F$9),2)</f>
        <v>0.0</v>
      </c>
      <c r="H9" s="12">
        <f>$L$8</f>
        <v>1932.96</v>
      </c>
      <c r="I9" s="12">
        <f>ROUND(IF($H$9&lt;=0,0,$H$9*FurnitureAPR/12),2)</f>
        <v>16.09</v>
      </c>
      <c r="J9" s="12">
        <f>ROUND(IF($H$9&lt;=0,0,MIN(FurnitureMinPayment,$H$9+$I$9)),2)</f>
        <v>72.0</v>
      </c>
      <c r="K9" s="12">
        <f>ROUND(IF($H$9&lt;=0,0,MIN(MAX(0,$H$9+$I$9-$J$9),MAX(0,$AG$9-$F$9))),2)</f>
        <v>214.0</v>
      </c>
      <c r="L9" s="12">
        <f>ROUND(MAX(0,$H$9+$I$9-$J$9-$K$9),2)</f>
        <v>1663.05</v>
      </c>
      <c r="M9" s="12">
        <f>$Q$8</f>
        <v>3133.44</v>
      </c>
      <c r="N9" s="12">
        <f>ROUND(IF($M$9&lt;=0,0,$M$9*StoreAPR/12),2)</f>
        <v>78.31</v>
      </c>
      <c r="O9" s="12">
        <f>ROUND(IF($M$9&lt;=0,0,MIN(StoreMinPayment,$M$9+$N$9)),2)</f>
        <v>96.0</v>
      </c>
      <c r="P9" s="12">
        <f>ROUND(IF($M$9&lt;=0,0,MIN(MAX(0,$M$9+$N$9-$O$9),MAX(0,$AG$9-$F$9-$K$9))),2)</f>
        <v>0.0</v>
      </c>
      <c r="Q9" s="12">
        <f>ROUND(MAX(0,$M$9+$N$9-$O$9-$P$9),2)</f>
        <v>3115.75</v>
      </c>
      <c r="R9" s="12">
        <f>$V$8</f>
        <v>4602.19</v>
      </c>
      <c r="S9" s="12">
        <f>ROUND(IF($R$9&lt;=0,0,$R$9*PersonalAPR/12),2)</f>
        <v>51.74</v>
      </c>
      <c r="T9" s="12">
        <f>ROUND(IF($R$9&lt;=0,0,MIN(PersonalMinPayment,$R$9+$S$9)),2)</f>
        <v>154.0</v>
      </c>
      <c r="U9" s="12">
        <f>ROUND(IF($R$9&lt;=0,0,MIN(MAX(0,$R$9+$S$9-$T$9),MAX(0,$AG$9-$F$9-$K$9-$P$9))),2)</f>
        <v>0.0</v>
      </c>
      <c r="V9" s="12">
        <f>ROUND(MAX(0,$R$9+$S$9-$T$9-$U$9),2)</f>
        <v>4499.93</v>
      </c>
      <c r="W9" s="12">
        <f>$AA$8</f>
        <v>6165.99</v>
      </c>
      <c r="X9" s="12">
        <f>ROUND(IF($W$9&lt;=0,0,$W$9*AutoAPR/12),2)</f>
        <v>33.35</v>
      </c>
      <c r="Y9" s="12">
        <f>ROUND(IF($W$9&lt;=0,0,MIN(AutoMinPayment,$W$9+$X$9)),2)</f>
        <v>194.0</v>
      </c>
      <c r="Z9" s="12">
        <f>ROUND(IF($W$9&lt;=0,0,MIN(MAX(0,$W$9+$X$9-$Y$9),MAX(0,$AG$9-$F$9-$K$9-$P$9-$U$9))),2)</f>
        <v>0.0</v>
      </c>
      <c r="AA9" s="12">
        <f>ROUND(MAX(0,$W$9+$X$9-$Y$9-$Z$9),2)</f>
        <v>6005.34</v>
      </c>
      <c r="AB9" s="12">
        <f>$AF$8</f>
        <v>8720.45</v>
      </c>
      <c r="AC9" s="12">
        <f>ROUND(IF($AB$9&lt;=0,0,$AB$9*VisaAPR/12),2)</f>
        <v>196.14</v>
      </c>
      <c r="AD9" s="12">
        <f>ROUND(IF($AB$9&lt;=0,0,MIN(VisaMinPayment,$AB$9+$AC$9)),2)</f>
        <v>270.0</v>
      </c>
      <c r="AE9" s="12">
        <f>ROUND(IF($AB$9&lt;=0,0,MIN(MAX(0,$AB$9+$AC$9-$AD$9),MAX(0,$AG$9-$F$9-$K$9-$P$9-$U$9-$Z$9))),2)</f>
        <v>0.0</v>
      </c>
      <c r="AF9" s="12">
        <f>ROUND(MAX(0,$AB$9+$AC$9-$AD$9-$AE$9),2)</f>
        <v>8646.59</v>
      </c>
      <c r="AG9" s="12">
        <f>ROUND(ExtraPayment+IF($G$8&lt;=0,MedicalMinPayment,0)+IF($L$8&lt;=0,FurnitureMinPayment,0)+IF($Q$8&lt;=0,StoreMinPayment,0)+IF($V$8&lt;=0,PersonalMinPayment,0)+IF($AA$8&lt;=0,AutoMinPayment,0)+IF($AF$8&lt;=0,VisaMinPayment,0),2)</f>
        <v>214.0</v>
      </c>
      <c r="AH9" s="12">
        <f>ROUND(SUM($D$9,$I$9,$N$9,$S$9,$X$9,$AC$9),2)</f>
        <v>375.63</v>
      </c>
      <c r="AI9" s="12">
        <f>ROUND(SUM($G$9,$L$9,$Q$9,$V$9,$AA$9,$AF$9),2)</f>
        <v>23930.66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ROUND(IF($C$10&lt;=0,0,$C$10*MedicalAPR/12),2)</f>
        <v>0.0</v>
      </c>
      <c r="E10" s="12">
        <f>ROUND(IF($C$10&lt;=0,0,MIN(MedicalMinPayment,$C$10+$D$10)),2)</f>
        <v>0.0</v>
      </c>
      <c r="F10" s="12">
        <f>ROUND(IF($C$10&lt;=0,0,MIN(MAX(0,$C$10+$D$10-$E$10),$AG$10)),2)</f>
        <v>0.0</v>
      </c>
      <c r="G10" s="12">
        <f>ROUND(MAX(0,$C$10+$D$10-$E$10-$F$10),2)</f>
        <v>0.0</v>
      </c>
      <c r="H10" s="12">
        <f>$L$9</f>
        <v>1663.05</v>
      </c>
      <c r="I10" s="12">
        <f>ROUND(IF($H$10&lt;=0,0,$H$10*FurnitureAPR/12),2)</f>
        <v>13.84</v>
      </c>
      <c r="J10" s="12">
        <f>ROUND(IF($H$10&lt;=0,0,MIN(FurnitureMinPayment,$H$10+$I$10)),2)</f>
        <v>72.0</v>
      </c>
      <c r="K10" s="12">
        <f>ROUND(IF($H$10&lt;=0,0,MIN(MAX(0,$H$10+$I$10-$J$10),MAX(0,$AG$10-$F$10))),2)</f>
        <v>214.0</v>
      </c>
      <c r="L10" s="12">
        <f>ROUND(MAX(0,$H$10+$I$10-$J$10-$K$10),2)</f>
        <v>1390.89</v>
      </c>
      <c r="M10" s="12">
        <f>$Q$9</f>
        <v>3115.75</v>
      </c>
      <c r="N10" s="12">
        <f>ROUND(IF($M$10&lt;=0,0,$M$10*StoreAPR/12),2)</f>
        <v>77.87</v>
      </c>
      <c r="O10" s="12">
        <f>ROUND(IF($M$10&lt;=0,0,MIN(StoreMinPayment,$M$10+$N$10)),2)</f>
        <v>96.0</v>
      </c>
      <c r="P10" s="12">
        <f>ROUND(IF($M$10&lt;=0,0,MIN(MAX(0,$M$10+$N$10-$O$10),MAX(0,$AG$10-$F$10-$K$10))),2)</f>
        <v>0.0</v>
      </c>
      <c r="Q10" s="12">
        <f>ROUND(MAX(0,$M$10+$N$10-$O$10-$P$10),2)</f>
        <v>3097.62</v>
      </c>
      <c r="R10" s="12">
        <f>$V$9</f>
        <v>4499.93</v>
      </c>
      <c r="S10" s="12">
        <f>ROUND(IF($R$10&lt;=0,0,$R$10*PersonalAPR/12),2)</f>
        <v>50.59</v>
      </c>
      <c r="T10" s="12">
        <f>ROUND(IF($R$10&lt;=0,0,MIN(PersonalMinPayment,$R$10+$S$10)),2)</f>
        <v>154.0</v>
      </c>
      <c r="U10" s="12">
        <f>ROUND(IF($R$10&lt;=0,0,MIN(MAX(0,$R$10+$S$10-$T$10),MAX(0,$AG$10-$F$10-$K$10-$P$10))),2)</f>
        <v>0.0</v>
      </c>
      <c r="V10" s="12">
        <f>ROUND(MAX(0,$R$10+$S$10-$T$10-$U$10),2)</f>
        <v>4396.52</v>
      </c>
      <c r="W10" s="12">
        <f>$AA$9</f>
        <v>6005.34</v>
      </c>
      <c r="X10" s="12">
        <f>ROUND(IF($W$10&lt;=0,0,$W$10*AutoAPR/12),2)</f>
        <v>32.48</v>
      </c>
      <c r="Y10" s="12">
        <f>ROUND(IF($W$10&lt;=0,0,MIN(AutoMinPayment,$W$10+$X$10)),2)</f>
        <v>194.0</v>
      </c>
      <c r="Z10" s="12">
        <f>ROUND(IF($W$10&lt;=0,0,MIN(MAX(0,$W$10+$X$10-$Y$10),MAX(0,$AG$10-$F$10-$K$10-$P$10-$U$10))),2)</f>
        <v>0.0</v>
      </c>
      <c r="AA10" s="12">
        <f>ROUND(MAX(0,$W$10+$X$10-$Y$10-$Z$10),2)</f>
        <v>5843.82</v>
      </c>
      <c r="AB10" s="12">
        <f>$AF$9</f>
        <v>8646.59</v>
      </c>
      <c r="AC10" s="12">
        <f>ROUND(IF($AB$10&lt;=0,0,$AB$10*VisaAPR/12),2)</f>
        <v>194.48</v>
      </c>
      <c r="AD10" s="12">
        <f>ROUND(IF($AB$10&lt;=0,0,MIN(VisaMinPayment,$AB$10+$AC$10)),2)</f>
        <v>270.0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8571.07</v>
      </c>
      <c r="AG10" s="12">
        <f>ROUND(ExtraPayment+IF($G$9&lt;=0,MedicalMinPayment,0)+IF($L$9&lt;=0,FurnitureMinPayment,0)+IF($Q$9&lt;=0,StoreMinPayment,0)+IF($V$9&lt;=0,PersonalMinPayment,0)+IF($AA$9&lt;=0,AutoMinPayment,0)+IF($AF$9&lt;=0,VisaMinPayment,0),2)</f>
        <v>214.0</v>
      </c>
      <c r="AH10" s="12">
        <f>ROUND(SUM($D$10,$I$10,$N$10,$S$10,$X$10,$AC$10),2)</f>
        <v>369.26</v>
      </c>
      <c r="AI10" s="12">
        <f>ROUND(SUM($G$10,$L$10,$Q$10,$V$10,$AA$10,$AF$10),2)</f>
        <v>23299.92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ROUND(IF($C$11&lt;=0,0,$C$11*MedicalAPR/12),2)</f>
        <v>0.0</v>
      </c>
      <c r="E11" s="12">
        <f>ROUND(IF($C$11&lt;=0,0,MIN(MedicalMinPayment,$C$11+$D$11)),2)</f>
        <v>0.0</v>
      </c>
      <c r="F11" s="12">
        <f>ROUND(IF($C$11&lt;=0,0,MIN(MAX(0,$C$11+$D$11-$E$11),$AG$11)),2)</f>
        <v>0.0</v>
      </c>
      <c r="G11" s="12">
        <f>ROUND(MAX(0,$C$11+$D$11-$E$11-$F$11),2)</f>
        <v>0.0</v>
      </c>
      <c r="H11" s="12">
        <f>$L$10</f>
        <v>1390.89</v>
      </c>
      <c r="I11" s="12">
        <f>ROUND(IF($H$11&lt;=0,0,$H$11*FurnitureAPR/12),2)</f>
        <v>11.58</v>
      </c>
      <c r="J11" s="12">
        <f>ROUND(IF($H$11&lt;=0,0,MIN(FurnitureMinPayment,$H$11+$I$11)),2)</f>
        <v>72.0</v>
      </c>
      <c r="K11" s="12">
        <f>ROUND(IF($H$11&lt;=0,0,MIN(MAX(0,$H$11+$I$11-$J$11),MAX(0,$AG$11-$F$11))),2)</f>
        <v>214.0</v>
      </c>
      <c r="L11" s="12">
        <f>ROUND(MAX(0,$H$11+$I$11-$J$11-$K$11),2)</f>
        <v>1116.47</v>
      </c>
      <c r="M11" s="12">
        <f>$Q$10</f>
        <v>3097.62</v>
      </c>
      <c r="N11" s="12">
        <f>ROUND(IF($M$11&lt;=0,0,$M$11*StoreAPR/12),2)</f>
        <v>77.41</v>
      </c>
      <c r="O11" s="12">
        <f>ROUND(IF($M$11&lt;=0,0,MIN(StoreMinPayment,$M$11+$N$11)),2)</f>
        <v>96.0</v>
      </c>
      <c r="P11" s="12">
        <f>ROUND(IF($M$11&lt;=0,0,MIN(MAX(0,$M$11+$N$11-$O$11),MAX(0,$AG$11-$F$11-$K$11))),2)</f>
        <v>0.0</v>
      </c>
      <c r="Q11" s="12">
        <f>ROUND(MAX(0,$M$11+$N$11-$O$11-$P$11),2)</f>
        <v>3079.03</v>
      </c>
      <c r="R11" s="12">
        <f>$V$10</f>
        <v>4396.52</v>
      </c>
      <c r="S11" s="12">
        <f>ROUND(IF($R$11&lt;=0,0,$R$11*PersonalAPR/12),2)</f>
        <v>49.42</v>
      </c>
      <c r="T11" s="12">
        <f>ROUND(IF($R$11&lt;=0,0,MIN(PersonalMinPayment,$R$11+$S$11)),2)</f>
        <v>154.0</v>
      </c>
      <c r="U11" s="12">
        <f>ROUND(IF($R$11&lt;=0,0,MIN(MAX(0,$R$11+$S$11-$T$11),MAX(0,$AG$11-$F$11-$K$11-$P$11))),2)</f>
        <v>0.0</v>
      </c>
      <c r="V11" s="12">
        <f>ROUND(MAX(0,$R$11+$S$11-$T$11-$U$11),2)</f>
        <v>4291.94</v>
      </c>
      <c r="W11" s="12">
        <f>$AA$10</f>
        <v>5843.82</v>
      </c>
      <c r="X11" s="12">
        <f>ROUND(IF($W$11&lt;=0,0,$W$11*AutoAPR/12),2)</f>
        <v>31.61</v>
      </c>
      <c r="Y11" s="12">
        <f>ROUND(IF($W$11&lt;=0,0,MIN(AutoMinPayment,$W$11+$X$11)),2)</f>
        <v>194.0</v>
      </c>
      <c r="Z11" s="12">
        <f>ROUND(IF($W$11&lt;=0,0,MIN(MAX(0,$W$11+$X$11-$Y$11),MAX(0,$AG$11-$F$11-$K$11-$P$11-$U$11))),2)</f>
        <v>0.0</v>
      </c>
      <c r="AA11" s="12">
        <f>ROUND(MAX(0,$W$11+$X$11-$Y$11-$Z$11),2)</f>
        <v>5681.43</v>
      </c>
      <c r="AB11" s="12">
        <f>$AF$10</f>
        <v>8571.07</v>
      </c>
      <c r="AC11" s="12">
        <f>ROUND(IF($AB$11&lt;=0,0,$AB$11*VisaAPR/12),2)</f>
        <v>192.78</v>
      </c>
      <c r="AD11" s="12">
        <f>ROUND(IF($AB$11&lt;=0,0,MIN(VisaMinPayment,$AB$11+$AC$11)),2)</f>
        <v>270.0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8493.85</v>
      </c>
      <c r="AG11" s="12">
        <f>ROUND(ExtraPayment+IF($G$10&lt;=0,MedicalMinPayment,0)+IF($L$10&lt;=0,FurnitureMinPayment,0)+IF($Q$10&lt;=0,StoreMinPayment,0)+IF($V$10&lt;=0,PersonalMinPayment,0)+IF($AA$10&lt;=0,AutoMinPayment,0)+IF($AF$10&lt;=0,VisaMinPayment,0),2)</f>
        <v>214.0</v>
      </c>
      <c r="AH11" s="12">
        <f>ROUND(SUM($D$11,$I$11,$N$11,$S$11,$X$11,$AC$11),2)</f>
        <v>362.8</v>
      </c>
      <c r="AI11" s="12">
        <f>ROUND(SUM($G$11,$L$11,$Q$11,$V$11,$AA$11,$AF$11),2)</f>
        <v>22662.72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ROUND(IF($C$12&lt;=0,0,$C$12*MedicalAPR/12),2)</f>
        <v>0.0</v>
      </c>
      <c r="E12" s="12">
        <f>ROUND(IF($C$12&lt;=0,0,MIN(MedicalMinPayment,$C$12+$D$12)),2)</f>
        <v>0.0</v>
      </c>
      <c r="F12" s="12">
        <f>ROUND(IF($C$12&lt;=0,0,MIN(MAX(0,$C$12+$D$12-$E$12),$AG$12)),2)</f>
        <v>0.0</v>
      </c>
      <c r="G12" s="12">
        <f>ROUND(MAX(0,$C$12+$D$12-$E$12-$F$12),2)</f>
        <v>0.0</v>
      </c>
      <c r="H12" s="12">
        <f>$L$11</f>
        <v>1116.47</v>
      </c>
      <c r="I12" s="12">
        <f>ROUND(IF($H$12&lt;=0,0,$H$12*FurnitureAPR/12),2)</f>
        <v>9.29</v>
      </c>
      <c r="J12" s="12">
        <f>ROUND(IF($H$12&lt;=0,0,MIN(FurnitureMinPayment,$H$12+$I$12)),2)</f>
        <v>72.0</v>
      </c>
      <c r="K12" s="12">
        <f>ROUND(IF($H$12&lt;=0,0,MIN(MAX(0,$H$12+$I$12-$J$12),MAX(0,$AG$12-$F$12))),2)</f>
        <v>214.0</v>
      </c>
      <c r="L12" s="12">
        <f>ROUND(MAX(0,$H$12+$I$12-$J$12-$K$12),2)</f>
        <v>839.76</v>
      </c>
      <c r="M12" s="12">
        <f>$Q$11</f>
        <v>3079.03</v>
      </c>
      <c r="N12" s="12">
        <f>ROUND(IF($M$12&lt;=0,0,$M$12*StoreAPR/12),2)</f>
        <v>76.95</v>
      </c>
      <c r="O12" s="12">
        <f>ROUND(IF($M$12&lt;=0,0,MIN(StoreMinPayment,$M$12+$N$12)),2)</f>
        <v>96.0</v>
      </c>
      <c r="P12" s="12">
        <f>ROUND(IF($M$12&lt;=0,0,MIN(MAX(0,$M$12+$N$12-$O$12),MAX(0,$AG$12-$F$12-$K$12))),2)</f>
        <v>0.0</v>
      </c>
      <c r="Q12" s="12">
        <f>ROUND(MAX(0,$M$12+$N$12-$O$12-$P$12),2)</f>
        <v>3059.98</v>
      </c>
      <c r="R12" s="12">
        <f>$V$11</f>
        <v>4291.94</v>
      </c>
      <c r="S12" s="12">
        <f>ROUND(IF($R$12&lt;=0,0,$R$12*PersonalAPR/12),2)</f>
        <v>48.25</v>
      </c>
      <c r="T12" s="12">
        <f>ROUND(IF($R$12&lt;=0,0,MIN(PersonalMinPayment,$R$12+$S$12)),2)</f>
        <v>154.0</v>
      </c>
      <c r="U12" s="12">
        <f>ROUND(IF($R$12&lt;=0,0,MIN(MAX(0,$R$12+$S$12-$T$12),MAX(0,$AG$12-$F$12-$K$12-$P$12))),2)</f>
        <v>0.0</v>
      </c>
      <c r="V12" s="12">
        <f>ROUND(MAX(0,$R$12+$S$12-$T$12-$U$12),2)</f>
        <v>4186.19</v>
      </c>
      <c r="W12" s="12">
        <f>$AA$11</f>
        <v>5681.43</v>
      </c>
      <c r="X12" s="12">
        <f>ROUND(IF($W$12&lt;=0,0,$W$12*AutoAPR/12),2)</f>
        <v>30.73</v>
      </c>
      <c r="Y12" s="12">
        <f>ROUND(IF($W$12&lt;=0,0,MIN(AutoMinPayment,$W$12+$X$12)),2)</f>
        <v>194.0</v>
      </c>
      <c r="Z12" s="12">
        <f>ROUND(IF($W$12&lt;=0,0,MIN(MAX(0,$W$12+$X$12-$Y$12),MAX(0,$AG$12-$F$12-$K$12-$P$12-$U$12))),2)</f>
        <v>0.0</v>
      </c>
      <c r="AA12" s="12">
        <f>ROUND(MAX(0,$W$12+$X$12-$Y$12-$Z$12),2)</f>
        <v>5518.16</v>
      </c>
      <c r="AB12" s="12">
        <f>$AF$11</f>
        <v>8493.85</v>
      </c>
      <c r="AC12" s="12">
        <f>ROUND(IF($AB$12&lt;=0,0,$AB$12*VisaAPR/12),2)</f>
        <v>191.04</v>
      </c>
      <c r="AD12" s="12">
        <f>ROUND(IF($AB$12&lt;=0,0,MIN(VisaMinPayment,$AB$12+$AC$12)),2)</f>
        <v>270.0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8414.89</v>
      </c>
      <c r="AG12" s="12">
        <f>ROUND(ExtraPayment+IF($G$11&lt;=0,MedicalMinPayment,0)+IF($L$11&lt;=0,FurnitureMinPayment,0)+IF($Q$11&lt;=0,StoreMinPayment,0)+IF($V$11&lt;=0,PersonalMinPayment,0)+IF($AA$11&lt;=0,AutoMinPayment,0)+IF($AF$11&lt;=0,VisaMinPayment,0),2)</f>
        <v>214.0</v>
      </c>
      <c r="AH12" s="12">
        <f>ROUND(SUM($D$12,$I$12,$N$12,$S$12,$X$12,$AC$12),2)</f>
        <v>356.26</v>
      </c>
      <c r="AI12" s="12">
        <f>ROUND(SUM($G$12,$L$12,$Q$12,$V$12,$AA$12,$AF$12),2)</f>
        <v>22018.98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ROUND(IF($C$13&lt;=0,0,$C$13*MedicalAPR/12),2)</f>
        <v>0.0</v>
      </c>
      <c r="E13" s="12">
        <f>ROUND(IF($C$13&lt;=0,0,MIN(MedicalMinPayment,$C$13+$D$13)),2)</f>
        <v>0.0</v>
      </c>
      <c r="F13" s="12">
        <f>ROUND(IF($C$13&lt;=0,0,MIN(MAX(0,$C$13+$D$13-$E$13),$AG$13)),2)</f>
        <v>0.0</v>
      </c>
      <c r="G13" s="12">
        <f>ROUND(MAX(0,$C$13+$D$13-$E$13-$F$13),2)</f>
        <v>0.0</v>
      </c>
      <c r="H13" s="12">
        <f>$L$12</f>
        <v>839.76</v>
      </c>
      <c r="I13" s="12">
        <f>ROUND(IF($H$13&lt;=0,0,$H$13*FurnitureAPR/12),2)</f>
        <v>6.99</v>
      </c>
      <c r="J13" s="12">
        <f>ROUND(IF($H$13&lt;=0,0,MIN(FurnitureMinPayment,$H$13+$I$13)),2)</f>
        <v>72.0</v>
      </c>
      <c r="K13" s="12">
        <f>ROUND(IF($H$13&lt;=0,0,MIN(MAX(0,$H$13+$I$13-$J$13),MAX(0,$AG$13-$F$13))),2)</f>
        <v>214.0</v>
      </c>
      <c r="L13" s="12">
        <f>ROUND(MAX(0,$H$13+$I$13-$J$13-$K$13),2)</f>
        <v>560.75</v>
      </c>
      <c r="M13" s="12">
        <f>$Q$12</f>
        <v>3059.98</v>
      </c>
      <c r="N13" s="12">
        <f>ROUND(IF($M$13&lt;=0,0,$M$13*StoreAPR/12),2)</f>
        <v>76.47</v>
      </c>
      <c r="O13" s="12">
        <f>ROUND(IF($M$13&lt;=0,0,MIN(StoreMinPayment,$M$13+$N$13)),2)</f>
        <v>96.0</v>
      </c>
      <c r="P13" s="12">
        <f>ROUND(IF($M$13&lt;=0,0,MIN(MAX(0,$M$13+$N$13-$O$13),MAX(0,$AG$13-$F$13-$K$13))),2)</f>
        <v>0.0</v>
      </c>
      <c r="Q13" s="12">
        <f>ROUND(MAX(0,$M$13+$N$13-$O$13-$P$13),2)</f>
        <v>3040.45</v>
      </c>
      <c r="R13" s="12">
        <f>$V$12</f>
        <v>4186.19</v>
      </c>
      <c r="S13" s="12">
        <f>ROUND(IF($R$13&lt;=0,0,$R$13*PersonalAPR/12),2)</f>
        <v>47.06</v>
      </c>
      <c r="T13" s="12">
        <f>ROUND(IF($R$13&lt;=0,0,MIN(PersonalMinPayment,$R$13+$S$13)),2)</f>
        <v>154.0</v>
      </c>
      <c r="U13" s="12">
        <f>ROUND(IF($R$13&lt;=0,0,MIN(MAX(0,$R$13+$S$13-$T$13),MAX(0,$AG$13-$F$13-$K$13-$P$13))),2)</f>
        <v>0.0</v>
      </c>
      <c r="V13" s="12">
        <f>ROUND(MAX(0,$R$13+$S$13-$T$13-$U$13),2)</f>
        <v>4079.25</v>
      </c>
      <c r="W13" s="12">
        <f>$AA$12</f>
        <v>5518.16</v>
      </c>
      <c r="X13" s="12">
        <f>ROUND(IF($W$13&lt;=0,0,$W$13*AutoAPR/12),2)</f>
        <v>29.84</v>
      </c>
      <c r="Y13" s="12">
        <f>ROUND(IF($W$13&lt;=0,0,MIN(AutoMinPayment,$W$13+$X$13)),2)</f>
        <v>194.0</v>
      </c>
      <c r="Z13" s="12">
        <f>ROUND(IF($W$13&lt;=0,0,MIN(MAX(0,$W$13+$X$13-$Y$13),MAX(0,$AG$13-$F$13-$K$13-$P$13-$U$13))),2)</f>
        <v>0.0</v>
      </c>
      <c r="AA13" s="12">
        <f>ROUND(MAX(0,$W$13+$X$13-$Y$13-$Z$13),2)</f>
        <v>5354.0</v>
      </c>
      <c r="AB13" s="12">
        <f>$AF$12</f>
        <v>8414.89</v>
      </c>
      <c r="AC13" s="12">
        <f>ROUND(IF($AB$13&lt;=0,0,$AB$13*VisaAPR/12),2)</f>
        <v>189.26</v>
      </c>
      <c r="AD13" s="12">
        <f>ROUND(IF($AB$13&lt;=0,0,MIN(VisaMinPayment,$AB$13+$AC$13)),2)</f>
        <v>270.0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8334.15</v>
      </c>
      <c r="AG13" s="12">
        <f>ROUND(ExtraPayment+IF($G$12&lt;=0,MedicalMinPayment,0)+IF($L$12&lt;=0,FurnitureMinPayment,0)+IF($Q$12&lt;=0,StoreMinPayment,0)+IF($V$12&lt;=0,PersonalMinPayment,0)+IF($AA$12&lt;=0,AutoMinPayment,0)+IF($AF$12&lt;=0,VisaMinPayment,0),2)</f>
        <v>214.0</v>
      </c>
      <c r="AH13" s="12">
        <f>ROUND(SUM($D$13,$I$13,$N$13,$S$13,$X$13,$AC$13),2)</f>
        <v>349.62</v>
      </c>
      <c r="AI13" s="12">
        <f>ROUND(SUM($G$13,$L$13,$Q$13,$V$13,$AA$13,$AF$13),2)</f>
        <v>21368.6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ROUND(IF($C$14&lt;=0,0,$C$14*MedicalAPR/12),2)</f>
        <v>0.0</v>
      </c>
      <c r="E14" s="12">
        <f>ROUND(IF($C$14&lt;=0,0,MIN(MedicalMinPayment,$C$14+$D$14)),2)</f>
        <v>0.0</v>
      </c>
      <c r="F14" s="12">
        <f>ROUND(IF($C$14&lt;=0,0,MIN(MAX(0,$C$14+$D$14-$E$14),$AG$14)),2)</f>
        <v>0.0</v>
      </c>
      <c r="G14" s="12">
        <f>ROUND(MAX(0,$C$14+$D$14-$E$14-$F$14),2)</f>
        <v>0.0</v>
      </c>
      <c r="H14" s="12">
        <f>$L$13</f>
        <v>560.75</v>
      </c>
      <c r="I14" s="12">
        <f>ROUND(IF($H$14&lt;=0,0,$H$14*FurnitureAPR/12),2)</f>
        <v>4.67</v>
      </c>
      <c r="J14" s="12">
        <f>ROUND(IF($H$14&lt;=0,0,MIN(FurnitureMinPayment,$H$14+$I$14)),2)</f>
        <v>72.0</v>
      </c>
      <c r="K14" s="12">
        <f>ROUND(IF($H$14&lt;=0,0,MIN(MAX(0,$H$14+$I$14-$J$14),MAX(0,$AG$14-$F$14))),2)</f>
        <v>214.0</v>
      </c>
      <c r="L14" s="12">
        <f>ROUND(MAX(0,$H$14+$I$14-$J$14-$K$14),2)</f>
        <v>279.42</v>
      </c>
      <c r="M14" s="12">
        <f>$Q$13</f>
        <v>3040.45</v>
      </c>
      <c r="N14" s="12">
        <f>ROUND(IF($M$14&lt;=0,0,$M$14*StoreAPR/12),2)</f>
        <v>75.99</v>
      </c>
      <c r="O14" s="12">
        <f>ROUND(IF($M$14&lt;=0,0,MIN(StoreMinPayment,$M$14+$N$14)),2)</f>
        <v>96.0</v>
      </c>
      <c r="P14" s="12">
        <f>ROUND(IF($M$14&lt;=0,0,MIN(MAX(0,$M$14+$N$14-$O$14),MAX(0,$AG$14-$F$14-$K$14))),2)</f>
        <v>0.0</v>
      </c>
      <c r="Q14" s="12">
        <f>ROUND(MAX(0,$M$14+$N$14-$O$14-$P$14),2)</f>
        <v>3020.44</v>
      </c>
      <c r="R14" s="12">
        <f>$V$13</f>
        <v>4079.25</v>
      </c>
      <c r="S14" s="12">
        <f>ROUND(IF($R$14&lt;=0,0,$R$14*PersonalAPR/12),2)</f>
        <v>45.86</v>
      </c>
      <c r="T14" s="12">
        <f>ROUND(IF($R$14&lt;=0,0,MIN(PersonalMinPayment,$R$14+$S$14)),2)</f>
        <v>154.0</v>
      </c>
      <c r="U14" s="12">
        <f>ROUND(IF($R$14&lt;=0,0,MIN(MAX(0,$R$14+$S$14-$T$14),MAX(0,$AG$14-$F$14-$K$14-$P$14))),2)</f>
        <v>0.0</v>
      </c>
      <c r="V14" s="12">
        <f>ROUND(MAX(0,$R$14+$S$14-$T$14-$U$14),2)</f>
        <v>3971.11</v>
      </c>
      <c r="W14" s="12">
        <f>$AA$13</f>
        <v>5354.0</v>
      </c>
      <c r="X14" s="12">
        <f>ROUND(IF($W$14&lt;=0,0,$W$14*AutoAPR/12),2)</f>
        <v>28.96</v>
      </c>
      <c r="Y14" s="12">
        <f>ROUND(IF($W$14&lt;=0,0,MIN(AutoMinPayment,$W$14+$X$14)),2)</f>
        <v>194.0</v>
      </c>
      <c r="Z14" s="12">
        <f>ROUND(IF($W$14&lt;=0,0,MIN(MAX(0,$W$14+$X$14-$Y$14),MAX(0,$AG$14-$F$14-$K$14-$P$14-$U$14))),2)</f>
        <v>0.0</v>
      </c>
      <c r="AA14" s="12">
        <f>ROUND(MAX(0,$W$14+$X$14-$Y$14-$Z$14),2)</f>
        <v>5188.96</v>
      </c>
      <c r="AB14" s="12">
        <f>$AF$13</f>
        <v>8334.15</v>
      </c>
      <c r="AC14" s="12">
        <f>ROUND(IF($AB$14&lt;=0,0,$AB$14*VisaAPR/12),2)</f>
        <v>187.45</v>
      </c>
      <c r="AD14" s="12">
        <f>ROUND(IF($AB$14&lt;=0,0,MIN(VisaMinPayment,$AB$14+$AC$14)),2)</f>
        <v>270.0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8251.6</v>
      </c>
      <c r="AG14" s="12">
        <f>ROUND(ExtraPayment+IF($G$13&lt;=0,MedicalMinPayment,0)+IF($L$13&lt;=0,FurnitureMinPayment,0)+IF($Q$13&lt;=0,StoreMinPayment,0)+IF($V$13&lt;=0,PersonalMinPayment,0)+IF($AA$13&lt;=0,AutoMinPayment,0)+IF($AF$13&lt;=0,VisaMinPayment,0),2)</f>
        <v>214.0</v>
      </c>
      <c r="AH14" s="12">
        <f>ROUND(SUM($D$14,$I$14,$N$14,$S$14,$X$14,$AC$14),2)</f>
        <v>342.93</v>
      </c>
      <c r="AI14" s="12">
        <f>ROUND(SUM($G$14,$L$14,$Q$14,$V$14,$AA$14,$AF$14),2)</f>
        <v>20711.53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ROUND(IF($C$15&lt;=0,0,$C$15*MedicalAPR/12),2)</f>
        <v>0.0</v>
      </c>
      <c r="E15" s="12">
        <f>ROUND(IF($C$15&lt;=0,0,MIN(MedicalMinPayment,$C$15+$D$15)),2)</f>
        <v>0.0</v>
      </c>
      <c r="F15" s="12">
        <f>ROUND(IF($C$15&lt;=0,0,MIN(MAX(0,$C$15+$D$15-$E$15),$AG$15)),2)</f>
        <v>0.0</v>
      </c>
      <c r="G15" s="12">
        <f>ROUND(MAX(0,$C$15+$D$15-$E$15-$F$15),2)</f>
        <v>0.0</v>
      </c>
      <c r="H15" s="12">
        <f>$L$14</f>
        <v>279.42</v>
      </c>
      <c r="I15" s="12">
        <f>ROUND(IF($H$15&lt;=0,0,$H$15*FurnitureAPR/12),2)</f>
        <v>2.33</v>
      </c>
      <c r="J15" s="12">
        <f>ROUND(IF($H$15&lt;=0,0,MIN(FurnitureMinPayment,$H$15+$I$15)),2)</f>
        <v>72.0</v>
      </c>
      <c r="K15" s="12">
        <f>ROUND(IF($H$15&lt;=0,0,MIN(MAX(0,$H$15+$I$15-$J$15),MAX(0,$AG$15-$F$15))),2)</f>
        <v>209.75</v>
      </c>
      <c r="L15" s="12">
        <f>ROUND(MAX(0,$H$15+$I$15-$J$15-$K$15),2)</f>
        <v>0.0</v>
      </c>
      <c r="M15" s="12">
        <f>$Q$14</f>
        <v>3020.44</v>
      </c>
      <c r="N15" s="12">
        <f>ROUND(IF($M$15&lt;=0,0,$M$15*StoreAPR/12),2)</f>
        <v>75.49</v>
      </c>
      <c r="O15" s="12">
        <f>ROUND(IF($M$15&lt;=0,0,MIN(StoreMinPayment,$M$15+$N$15)),2)</f>
        <v>96.0</v>
      </c>
      <c r="P15" s="12">
        <f>ROUND(IF($M$15&lt;=0,0,MIN(MAX(0,$M$15+$N$15-$O$15),MAX(0,$AG$15-$F$15-$K$15))),2)</f>
        <v>4.25</v>
      </c>
      <c r="Q15" s="12">
        <f>ROUND(MAX(0,$M$15+$N$15-$O$15-$P$15),2)</f>
        <v>2995.68</v>
      </c>
      <c r="R15" s="12">
        <f>$V$14</f>
        <v>3971.11</v>
      </c>
      <c r="S15" s="12">
        <f>ROUND(IF($R$15&lt;=0,0,$R$15*PersonalAPR/12),2)</f>
        <v>44.64</v>
      </c>
      <c r="T15" s="12">
        <f>ROUND(IF($R$15&lt;=0,0,MIN(PersonalMinPayment,$R$15+$S$15)),2)</f>
        <v>154.0</v>
      </c>
      <c r="U15" s="12">
        <f>ROUND(IF($R$15&lt;=0,0,MIN(MAX(0,$R$15+$S$15-$T$15),MAX(0,$AG$15-$F$15-$K$15-$P$15))),2)</f>
        <v>0.0</v>
      </c>
      <c r="V15" s="12">
        <f>ROUND(MAX(0,$R$15+$S$15-$T$15-$U$15),2)</f>
        <v>3861.75</v>
      </c>
      <c r="W15" s="12">
        <f>$AA$14</f>
        <v>5188.96</v>
      </c>
      <c r="X15" s="12">
        <f>ROUND(IF($W$15&lt;=0,0,$W$15*AutoAPR/12),2)</f>
        <v>28.06</v>
      </c>
      <c r="Y15" s="12">
        <f>ROUND(IF($W$15&lt;=0,0,MIN(AutoMinPayment,$W$15+$X$15)),2)</f>
        <v>194.0</v>
      </c>
      <c r="Z15" s="12">
        <f>ROUND(IF($W$15&lt;=0,0,MIN(MAX(0,$W$15+$X$15-$Y$15),MAX(0,$AG$15-$F$15-$K$15-$P$15-$U$15))),2)</f>
        <v>0.0</v>
      </c>
      <c r="AA15" s="12">
        <f>ROUND(MAX(0,$W$15+$X$15-$Y$15-$Z$15),2)</f>
        <v>5023.02</v>
      </c>
      <c r="AB15" s="12">
        <f>$AF$14</f>
        <v>8251.6</v>
      </c>
      <c r="AC15" s="12">
        <f>ROUND(IF($AB$15&lt;=0,0,$AB$15*VisaAPR/12),2)</f>
        <v>185.59</v>
      </c>
      <c r="AD15" s="12">
        <f>ROUND(IF($AB$15&lt;=0,0,MIN(VisaMinPayment,$AB$15+$AC$15)),2)</f>
        <v>270.0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8167.19</v>
      </c>
      <c r="AG15" s="12">
        <f>ROUND(ExtraPayment+IF($G$14&lt;=0,MedicalMinPayment,0)+IF($L$14&lt;=0,FurnitureMinPayment,0)+IF($Q$14&lt;=0,StoreMinPayment,0)+IF($V$14&lt;=0,PersonalMinPayment,0)+IF($AA$14&lt;=0,AutoMinPayment,0)+IF($AF$14&lt;=0,VisaMinPayment,0),2)</f>
        <v>214.0</v>
      </c>
      <c r="AH15" s="12">
        <f>ROUND(SUM($D$15,$I$15,$N$15,$S$15,$X$15,$AC$15),2)</f>
        <v>336.11</v>
      </c>
      <c r="AI15" s="12">
        <f>ROUND(SUM($G$15,$L$15,$Q$15,$V$15,$AA$15,$AF$15),2)</f>
        <v>20047.64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ROUND(IF($C$16&lt;=0,0,$C$16*MedicalAPR/12),2)</f>
        <v>0.0</v>
      </c>
      <c r="E16" s="12">
        <f>ROUND(IF($C$16&lt;=0,0,MIN(MedicalMinPayment,$C$16+$D$16)),2)</f>
        <v>0.0</v>
      </c>
      <c r="F16" s="12">
        <f>ROUND(IF($C$16&lt;=0,0,MIN(MAX(0,$C$16+$D$16-$E$16),$AG$16)),2)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ROUND(IF($H$16&lt;=0,0,$H$16*FurnitureAPR/12),2)</f>
        <v>0.0</v>
      </c>
      <c r="J16" s="12">
        <f>ROUND(IF($H$16&lt;=0,0,MIN(FurnitureMinPayment,$H$16+$I$16)),2)</f>
        <v>0.0</v>
      </c>
      <c r="K16" s="12">
        <f>ROUND(IF($H$16&lt;=0,0,MIN(MAX(0,$H$16+$I$16-$J$16),MAX(0,$AG$16-$F$16))),2)</f>
        <v>0.0</v>
      </c>
      <c r="L16" s="12">
        <f>ROUND(MAX(0,$H$16+$I$16-$J$16-$K$16),2)</f>
        <v>0.0</v>
      </c>
      <c r="M16" s="12">
        <f>$Q$15</f>
        <v>2995.68</v>
      </c>
      <c r="N16" s="12">
        <f>ROUND(IF($M$16&lt;=0,0,$M$16*StoreAPR/12),2)</f>
        <v>74.87</v>
      </c>
      <c r="O16" s="12">
        <f>ROUND(IF($M$16&lt;=0,0,MIN(StoreMinPayment,$M$16+$N$16)),2)</f>
        <v>96.0</v>
      </c>
      <c r="P16" s="12">
        <f>ROUND(IF($M$16&lt;=0,0,MIN(MAX(0,$M$16+$N$16-$O$16),MAX(0,$AG$16-$F$16-$K$16))),2)</f>
        <v>286.0</v>
      </c>
      <c r="Q16" s="12">
        <f>ROUND(MAX(0,$M$16+$N$16-$O$16-$P$16),2)</f>
        <v>2688.55</v>
      </c>
      <c r="R16" s="12">
        <f>$V$15</f>
        <v>3861.75</v>
      </c>
      <c r="S16" s="12">
        <f>ROUND(IF($R$16&lt;=0,0,$R$16*PersonalAPR/12),2)</f>
        <v>43.41</v>
      </c>
      <c r="T16" s="12">
        <f>ROUND(IF($R$16&lt;=0,0,MIN(PersonalMinPayment,$R$16+$S$16)),2)</f>
        <v>154.0</v>
      </c>
      <c r="U16" s="12">
        <f>ROUND(IF($R$16&lt;=0,0,MIN(MAX(0,$R$16+$S$16-$T$16),MAX(0,$AG$16-$F$16-$K$16-$P$16))),2)</f>
        <v>0.0</v>
      </c>
      <c r="V16" s="12">
        <f>ROUND(MAX(0,$R$16+$S$16-$T$16-$U$16),2)</f>
        <v>3751.16</v>
      </c>
      <c r="W16" s="12">
        <f>$AA$15</f>
        <v>5023.02</v>
      </c>
      <c r="X16" s="12">
        <f>ROUND(IF($W$16&lt;=0,0,$W$16*AutoAPR/12),2)</f>
        <v>27.17</v>
      </c>
      <c r="Y16" s="12">
        <f>ROUND(IF($W$16&lt;=0,0,MIN(AutoMinPayment,$W$16+$X$16)),2)</f>
        <v>194.0</v>
      </c>
      <c r="Z16" s="12">
        <f>ROUND(IF($W$16&lt;=0,0,MIN(MAX(0,$W$16+$X$16-$Y$16),MAX(0,$AG$16-$F$16-$K$16-$P$16-$U$16))),2)</f>
        <v>0.0</v>
      </c>
      <c r="AA16" s="12">
        <f>ROUND(MAX(0,$W$16+$X$16-$Y$16-$Z$16),2)</f>
        <v>4856.19</v>
      </c>
      <c r="AB16" s="12">
        <f>$AF$15</f>
        <v>8167.19</v>
      </c>
      <c r="AC16" s="12">
        <f>ROUND(IF($AB$16&lt;=0,0,$AB$16*VisaAPR/12),2)</f>
        <v>183.69</v>
      </c>
      <c r="AD16" s="12">
        <f>ROUND(IF($AB$16&lt;=0,0,MIN(VisaMinPayment,$AB$16+$AC$16)),2)</f>
        <v>270.0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8080.88</v>
      </c>
      <c r="AG16" s="12">
        <f>ROUND(ExtraPayment+IF($G$15&lt;=0,MedicalMinPayment,0)+IF($L$15&lt;=0,FurnitureMinPayment,0)+IF($Q$15&lt;=0,StoreMinPayment,0)+IF($V$15&lt;=0,PersonalMinPayment,0)+IF($AA$15&lt;=0,AutoMinPayment,0)+IF($AF$15&lt;=0,VisaMinPayment,0),2)</f>
        <v>286.0</v>
      </c>
      <c r="AH16" s="12">
        <f>ROUND(SUM($D$16,$I$16,$N$16,$S$16,$X$16,$AC$16),2)</f>
        <v>329.14</v>
      </c>
      <c r="AI16" s="12">
        <f>ROUND(SUM($G$16,$L$16,$Q$16,$V$16,$AA$16,$AF$16),2)</f>
        <v>19376.78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ROUND(IF($C$17&lt;=0,0,$C$17*MedicalAPR/12),2)</f>
        <v>0.0</v>
      </c>
      <c r="E17" s="12">
        <f>ROUND(IF($C$17&lt;=0,0,MIN(MedicalMinPayment,$C$17+$D$17)),2)</f>
        <v>0.0</v>
      </c>
      <c r="F17" s="12">
        <f>ROUND(IF($C$17&lt;=0,0,MIN(MAX(0,$C$17+$D$17-$E$17),$AG$17)),2)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ROUND(IF($H$17&lt;=0,0,$H$17*FurnitureAPR/12),2)</f>
        <v>0.0</v>
      </c>
      <c r="J17" s="12">
        <f>ROUND(IF($H$17&lt;=0,0,MIN(FurnitureMinPayment,$H$17+$I$17)),2)</f>
        <v>0.0</v>
      </c>
      <c r="K17" s="12">
        <f>ROUND(IF($H$17&lt;=0,0,MIN(MAX(0,$H$17+$I$17-$J$17),MAX(0,$AG$17-$F$17))),2)</f>
        <v>0.0</v>
      </c>
      <c r="L17" s="12">
        <f>ROUND(MAX(0,$H$17+$I$17-$J$17-$K$17),2)</f>
        <v>0.0</v>
      </c>
      <c r="M17" s="12">
        <f>$Q$16</f>
        <v>2688.55</v>
      </c>
      <c r="N17" s="12">
        <f>ROUND(IF($M$17&lt;=0,0,$M$17*StoreAPR/12),2)</f>
        <v>67.19</v>
      </c>
      <c r="O17" s="12">
        <f>ROUND(IF($M$17&lt;=0,0,MIN(StoreMinPayment,$M$17+$N$17)),2)</f>
        <v>96.0</v>
      </c>
      <c r="P17" s="12">
        <f>ROUND(IF($M$17&lt;=0,0,MIN(MAX(0,$M$17+$N$17-$O$17),MAX(0,$AG$17-$F$17-$K$17))),2)</f>
        <v>286.0</v>
      </c>
      <c r="Q17" s="12">
        <f>ROUND(MAX(0,$M$17+$N$17-$O$17-$P$17),2)</f>
        <v>2373.74</v>
      </c>
      <c r="R17" s="12">
        <f>$V$16</f>
        <v>3751.16</v>
      </c>
      <c r="S17" s="12">
        <f>ROUND(IF($R$17&lt;=0,0,$R$17*PersonalAPR/12),2)</f>
        <v>42.17</v>
      </c>
      <c r="T17" s="12">
        <f>ROUND(IF($R$17&lt;=0,0,MIN(PersonalMinPayment,$R$17+$S$17)),2)</f>
        <v>154.0</v>
      </c>
      <c r="U17" s="12">
        <f>ROUND(IF($R$17&lt;=0,0,MIN(MAX(0,$R$17+$S$17-$T$17),MAX(0,$AG$17-$F$17-$K$17-$P$17))),2)</f>
        <v>0.0</v>
      </c>
      <c r="V17" s="12">
        <f>ROUND(MAX(0,$R$17+$S$17-$T$17-$U$17),2)</f>
        <v>3639.33</v>
      </c>
      <c r="W17" s="12">
        <f>$AA$16</f>
        <v>4856.19</v>
      </c>
      <c r="X17" s="12">
        <f>ROUND(IF($W$17&lt;=0,0,$W$17*AutoAPR/12),2)</f>
        <v>26.26</v>
      </c>
      <c r="Y17" s="12">
        <f>ROUND(IF($W$17&lt;=0,0,MIN(AutoMinPayment,$W$17+$X$17)),2)</f>
        <v>194.0</v>
      </c>
      <c r="Z17" s="12">
        <f>ROUND(IF($W$17&lt;=0,0,MIN(MAX(0,$W$17+$X$17-$Y$17),MAX(0,$AG$17-$F$17-$K$17-$P$17-$U$17))),2)</f>
        <v>0.0</v>
      </c>
      <c r="AA17" s="12">
        <f>ROUND(MAX(0,$W$17+$X$17-$Y$17-$Z$17),2)</f>
        <v>4688.45</v>
      </c>
      <c r="AB17" s="12">
        <f>$AF$16</f>
        <v>8080.88</v>
      </c>
      <c r="AC17" s="12">
        <f>ROUND(IF($AB$17&lt;=0,0,$AB$17*VisaAPR/12),2)</f>
        <v>181.75</v>
      </c>
      <c r="AD17" s="12">
        <f>ROUND(IF($AB$17&lt;=0,0,MIN(VisaMinPayment,$AB$17+$AC$17)),2)</f>
        <v>270.0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7992.63</v>
      </c>
      <c r="AG17" s="12">
        <f>ROUND(ExtraPayment+IF($G$16&lt;=0,MedicalMinPayment,0)+IF($L$16&lt;=0,FurnitureMinPayment,0)+IF($Q$16&lt;=0,StoreMinPayment,0)+IF($V$16&lt;=0,PersonalMinPayment,0)+IF($AA$16&lt;=0,AutoMinPayment,0)+IF($AF$16&lt;=0,VisaMinPayment,0),2)</f>
        <v>286.0</v>
      </c>
      <c r="AH17" s="12">
        <f>ROUND(SUM($D$17,$I$17,$N$17,$S$17,$X$17,$AC$17),2)</f>
        <v>317.37</v>
      </c>
      <c r="AI17" s="12">
        <f>ROUND(SUM($G$17,$L$17,$Q$17,$V$17,$AA$17,$AF$17),2)</f>
        <v>18694.15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ROUND(IF($C$18&lt;=0,0,$C$18*MedicalAPR/12),2)</f>
        <v>0.0</v>
      </c>
      <c r="E18" s="12">
        <f>ROUND(IF($C$18&lt;=0,0,MIN(MedicalMinPayment,$C$18+$D$18)),2)</f>
        <v>0.0</v>
      </c>
      <c r="F18" s="12">
        <f>ROUND(IF($C$18&lt;=0,0,MIN(MAX(0,$C$18+$D$18-$E$18),$AG$18)),2)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ROUND(IF($H$18&lt;=0,0,$H$18*FurnitureAPR/12),2)</f>
        <v>0.0</v>
      </c>
      <c r="J18" s="12">
        <f>ROUND(IF($H$18&lt;=0,0,MIN(FurnitureMinPayment,$H$18+$I$18)),2)</f>
        <v>0.0</v>
      </c>
      <c r="K18" s="12">
        <f>ROUND(IF($H$18&lt;=0,0,MIN(MAX(0,$H$18+$I$18-$J$18),MAX(0,$AG$18-$F$18))),2)</f>
        <v>0.0</v>
      </c>
      <c r="L18" s="12">
        <f>ROUND(MAX(0,$H$18+$I$18-$J$18-$K$18),2)</f>
        <v>0.0</v>
      </c>
      <c r="M18" s="12">
        <f>$Q$17</f>
        <v>2373.74</v>
      </c>
      <c r="N18" s="12">
        <f>ROUND(IF($M$18&lt;=0,0,$M$18*StoreAPR/12),2)</f>
        <v>59.32</v>
      </c>
      <c r="O18" s="12">
        <f>ROUND(IF($M$18&lt;=0,0,MIN(StoreMinPayment,$M$18+$N$18)),2)</f>
        <v>96.0</v>
      </c>
      <c r="P18" s="12">
        <f>ROUND(IF($M$18&lt;=0,0,MIN(MAX(0,$M$18+$N$18-$O$18),MAX(0,$AG$18-$F$18-$K$18))),2)</f>
        <v>286.0</v>
      </c>
      <c r="Q18" s="12">
        <f>ROUND(MAX(0,$M$18+$N$18-$O$18-$P$18),2)</f>
        <v>2051.06</v>
      </c>
      <c r="R18" s="12">
        <f>$V$17</f>
        <v>3639.33</v>
      </c>
      <c r="S18" s="12">
        <f>ROUND(IF($R$18&lt;=0,0,$R$18*PersonalAPR/12),2)</f>
        <v>40.91</v>
      </c>
      <c r="T18" s="12">
        <f>ROUND(IF($R$18&lt;=0,0,MIN(PersonalMinPayment,$R$18+$S$18)),2)</f>
        <v>154.0</v>
      </c>
      <c r="U18" s="12">
        <f>ROUND(IF($R$18&lt;=0,0,MIN(MAX(0,$R$18+$S$18-$T$18),MAX(0,$AG$18-$F$18-$K$18-$P$18))),2)</f>
        <v>0.0</v>
      </c>
      <c r="V18" s="12">
        <f>ROUND(MAX(0,$R$18+$S$18-$T$18-$U$18),2)</f>
        <v>3526.24</v>
      </c>
      <c r="W18" s="12">
        <f>$AA$17</f>
        <v>4688.45</v>
      </c>
      <c r="X18" s="12">
        <f>ROUND(IF($W$18&lt;=0,0,$W$18*AutoAPR/12),2)</f>
        <v>25.36</v>
      </c>
      <c r="Y18" s="12">
        <f>ROUND(IF($W$18&lt;=0,0,MIN(AutoMinPayment,$W$18+$X$18)),2)</f>
        <v>194.0</v>
      </c>
      <c r="Z18" s="12">
        <f>ROUND(IF($W$18&lt;=0,0,MIN(MAX(0,$W$18+$X$18-$Y$18),MAX(0,$AG$18-$F$18-$K$18-$P$18-$U$18))),2)</f>
        <v>0.0</v>
      </c>
      <c r="AA18" s="12">
        <f>ROUND(MAX(0,$W$18+$X$18-$Y$18-$Z$18),2)</f>
        <v>4519.81</v>
      </c>
      <c r="AB18" s="12">
        <f>$AF$17</f>
        <v>7992.63</v>
      </c>
      <c r="AC18" s="12">
        <f>ROUND(IF($AB$18&lt;=0,0,$AB$18*VisaAPR/12),2)</f>
        <v>179.77</v>
      </c>
      <c r="AD18" s="12">
        <f>ROUND(IF($AB$18&lt;=0,0,MIN(VisaMinPayment,$AB$18+$AC$18)),2)</f>
        <v>270.0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7902.4</v>
      </c>
      <c r="AG18" s="12">
        <f>ROUND(ExtraPayment+IF($G$17&lt;=0,MedicalMinPayment,0)+IF($L$17&lt;=0,FurnitureMinPayment,0)+IF($Q$17&lt;=0,StoreMinPayment,0)+IF($V$17&lt;=0,PersonalMinPayment,0)+IF($AA$17&lt;=0,AutoMinPayment,0)+IF($AF$17&lt;=0,VisaMinPayment,0),2)</f>
        <v>286.0</v>
      </c>
      <c r="AH18" s="12">
        <f>ROUND(SUM($D$18,$I$18,$N$18,$S$18,$X$18,$AC$18),2)</f>
        <v>305.36</v>
      </c>
      <c r="AI18" s="12">
        <f>ROUND(SUM($G$18,$L$18,$Q$18,$V$18,$AA$18,$AF$18),2)</f>
        <v>17999.51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ROUND(IF($C$19&lt;=0,0,$C$19*MedicalAPR/12),2)</f>
        <v>0.0</v>
      </c>
      <c r="E19" s="12">
        <f>ROUND(IF($C$19&lt;=0,0,MIN(MedicalMinPayment,$C$19+$D$19)),2)</f>
        <v>0.0</v>
      </c>
      <c r="F19" s="12">
        <f>ROUND(IF($C$19&lt;=0,0,MIN(MAX(0,$C$19+$D$19-$E$19),$AG$19)),2)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ROUND(IF($H$19&lt;=0,0,$H$19*FurnitureAPR/12),2)</f>
        <v>0.0</v>
      </c>
      <c r="J19" s="12">
        <f>ROUND(IF($H$19&lt;=0,0,MIN(FurnitureMinPayment,$H$19+$I$19)),2)</f>
        <v>0.0</v>
      </c>
      <c r="K19" s="12">
        <f>ROUND(IF($H$19&lt;=0,0,MIN(MAX(0,$H$19+$I$19-$J$19),MAX(0,$AG$19-$F$19))),2)</f>
        <v>0.0</v>
      </c>
      <c r="L19" s="12">
        <f>ROUND(MAX(0,$H$19+$I$19-$J$19-$K$19),2)</f>
        <v>0.0</v>
      </c>
      <c r="M19" s="12">
        <f>$Q$18</f>
        <v>2051.06</v>
      </c>
      <c r="N19" s="12">
        <f>ROUND(IF($M$19&lt;=0,0,$M$19*StoreAPR/12),2)</f>
        <v>51.26</v>
      </c>
      <c r="O19" s="12">
        <f>ROUND(IF($M$19&lt;=0,0,MIN(StoreMinPayment,$M$19+$N$19)),2)</f>
        <v>96.0</v>
      </c>
      <c r="P19" s="12">
        <f>ROUND(IF($M$19&lt;=0,0,MIN(MAX(0,$M$19+$N$19-$O$19),MAX(0,$AG$19-$F$19-$K$19))),2)</f>
        <v>286.0</v>
      </c>
      <c r="Q19" s="12">
        <f>ROUND(MAX(0,$M$19+$N$19-$O$19-$P$19),2)</f>
        <v>1720.32</v>
      </c>
      <c r="R19" s="12">
        <f>$V$18</f>
        <v>3526.24</v>
      </c>
      <c r="S19" s="12">
        <f>ROUND(IF($R$19&lt;=0,0,$R$19*PersonalAPR/12),2)</f>
        <v>39.64</v>
      </c>
      <c r="T19" s="12">
        <f>ROUND(IF($R$19&lt;=0,0,MIN(PersonalMinPayment,$R$19+$S$19)),2)</f>
        <v>154.0</v>
      </c>
      <c r="U19" s="12">
        <f>ROUND(IF($R$19&lt;=0,0,MIN(MAX(0,$R$19+$S$19-$T$19),MAX(0,$AG$19-$F$19-$K$19-$P$19))),2)</f>
        <v>0.0</v>
      </c>
      <c r="V19" s="12">
        <f>ROUND(MAX(0,$R$19+$S$19-$T$19-$U$19),2)</f>
        <v>3411.88</v>
      </c>
      <c r="W19" s="12">
        <f>$AA$18</f>
        <v>4519.81</v>
      </c>
      <c r="X19" s="12">
        <f>ROUND(IF($W$19&lt;=0,0,$W$19*AutoAPR/12),2)</f>
        <v>24.44</v>
      </c>
      <c r="Y19" s="12">
        <f>ROUND(IF($W$19&lt;=0,0,MIN(AutoMinPayment,$W$19+$X$19)),2)</f>
        <v>194.0</v>
      </c>
      <c r="Z19" s="12">
        <f>ROUND(IF($W$19&lt;=0,0,MIN(MAX(0,$W$19+$X$19-$Y$19),MAX(0,$AG$19-$F$19-$K$19-$P$19-$U$19))),2)</f>
        <v>0.0</v>
      </c>
      <c r="AA19" s="12">
        <f>ROUND(MAX(0,$W$19+$X$19-$Y$19-$Z$19),2)</f>
        <v>4350.25</v>
      </c>
      <c r="AB19" s="12">
        <f>$AF$18</f>
        <v>7902.4</v>
      </c>
      <c r="AC19" s="12">
        <f>ROUND(IF($AB$19&lt;=0,0,$AB$19*VisaAPR/12),2)</f>
        <v>177.74</v>
      </c>
      <c r="AD19" s="12">
        <f>ROUND(IF($AB$19&lt;=0,0,MIN(VisaMinPayment,$AB$19+$AC$19)),2)</f>
        <v>270.0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7810.14</v>
      </c>
      <c r="AG19" s="12">
        <f>ROUND(ExtraPayment+IF($G$18&lt;=0,MedicalMinPayment,0)+IF($L$18&lt;=0,FurnitureMinPayment,0)+IF($Q$18&lt;=0,StoreMinPayment,0)+IF($V$18&lt;=0,PersonalMinPayment,0)+IF($AA$18&lt;=0,AutoMinPayment,0)+IF($AF$18&lt;=0,VisaMinPayment,0),2)</f>
        <v>286.0</v>
      </c>
      <c r="AH19" s="12">
        <f>ROUND(SUM($D$19,$I$19,$N$19,$S$19,$X$19,$AC$19),2)</f>
        <v>293.08</v>
      </c>
      <c r="AI19" s="12">
        <f>ROUND(SUM($G$19,$L$19,$Q$19,$V$19,$AA$19,$AF$19),2)</f>
        <v>17292.59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ROUND(IF($C$20&lt;=0,0,$C$20*MedicalAPR/12),2)</f>
        <v>0.0</v>
      </c>
      <c r="E20" s="12">
        <f>ROUND(IF($C$20&lt;=0,0,MIN(MedicalMinPayment,$C$20+$D$20)),2)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ROUND(IF($H$20&lt;=0,0,$H$20*FurnitureAPR/12),2)</f>
        <v>0.0</v>
      </c>
      <c r="J20" s="12">
        <f>ROUND(IF($H$20&lt;=0,0,MIN(FurnitureMinPayment,$H$20+$I$20)),2)</f>
        <v>0.0</v>
      </c>
      <c r="K20" s="12">
        <f>ROUND(IF($H$20&lt;=0,0,MIN(MAX(0,$H$20+$I$20-$J$20),MAX(0,$AG$20-$F$20))),2)</f>
        <v>0.0</v>
      </c>
      <c r="L20" s="12">
        <f>ROUND(MAX(0,$H$20+$I$20-$J$20-$K$20),2)</f>
        <v>0.0</v>
      </c>
      <c r="M20" s="12">
        <f>$Q$19</f>
        <v>1720.32</v>
      </c>
      <c r="N20" s="12">
        <f>ROUND(IF($M$20&lt;=0,0,$M$20*StoreAPR/12),2)</f>
        <v>42.99</v>
      </c>
      <c r="O20" s="12">
        <f>ROUND(IF($M$20&lt;=0,0,MIN(StoreMinPayment,$M$20+$N$20)),2)</f>
        <v>96.0</v>
      </c>
      <c r="P20" s="12">
        <f>ROUND(IF($M$20&lt;=0,0,MIN(MAX(0,$M$20+$N$20-$O$20),MAX(0,$AG$20-$F$20-$K$20))),2)</f>
        <v>286.0</v>
      </c>
      <c r="Q20" s="12">
        <f>ROUND(MAX(0,$M$20+$N$20-$O$20-$P$20),2)</f>
        <v>1381.31</v>
      </c>
      <c r="R20" s="12">
        <f>$V$19</f>
        <v>3411.88</v>
      </c>
      <c r="S20" s="12">
        <f>ROUND(IF($R$20&lt;=0,0,$R$20*PersonalAPR/12),2)</f>
        <v>38.36</v>
      </c>
      <c r="T20" s="12">
        <f>ROUND(IF($R$20&lt;=0,0,MIN(PersonalMinPayment,$R$20+$S$20)),2)</f>
        <v>154.0</v>
      </c>
      <c r="U20" s="12">
        <f>ROUND(IF($R$20&lt;=0,0,MIN(MAX(0,$R$20+$S$20-$T$20),MAX(0,$AG$20-$F$20-$K$20-$P$20))),2)</f>
        <v>0.0</v>
      </c>
      <c r="V20" s="12">
        <f>ROUND(MAX(0,$R$20+$S$20-$T$20-$U$20),2)</f>
        <v>3296.24</v>
      </c>
      <c r="W20" s="12">
        <f>$AA$19</f>
        <v>4350.25</v>
      </c>
      <c r="X20" s="12">
        <f>ROUND(IF($W$20&lt;=0,0,$W$20*AutoAPR/12),2)</f>
        <v>23.53</v>
      </c>
      <c r="Y20" s="12">
        <f>ROUND(IF($W$20&lt;=0,0,MIN(AutoMinPayment,$W$20+$X$20)),2)</f>
        <v>194.0</v>
      </c>
      <c r="Z20" s="12">
        <f>ROUND(IF($W$20&lt;=0,0,MIN(MAX(0,$W$20+$X$20-$Y$20),MAX(0,$AG$20-$F$20-$K$20-$P$20-$U$20))),2)</f>
        <v>0.0</v>
      </c>
      <c r="AA20" s="12">
        <f>ROUND(MAX(0,$W$20+$X$20-$Y$20-$Z$20),2)</f>
        <v>4179.78</v>
      </c>
      <c r="AB20" s="12">
        <f>$AF$19</f>
        <v>7810.14</v>
      </c>
      <c r="AC20" s="12">
        <f>ROUND(IF($AB$20&lt;=0,0,$AB$20*VisaAPR/12),2)</f>
        <v>175.66</v>
      </c>
      <c r="AD20" s="12">
        <f>ROUND(IF($AB$20&lt;=0,0,MIN(VisaMinPayment,$AB$20+$AC$20)),2)</f>
        <v>270.0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7715.8</v>
      </c>
      <c r="AG20" s="12">
        <f>ROUND(ExtraPayment+IF($G$19&lt;=0,MedicalMinPayment,0)+IF($L$19&lt;=0,FurnitureMinPayment,0)+IF($Q$19&lt;=0,StoreMinPayment,0)+IF($V$19&lt;=0,PersonalMinPayment,0)+IF($AA$19&lt;=0,AutoMinPayment,0)+IF($AF$19&lt;=0,VisaMinPayment,0),2)</f>
        <v>286.0</v>
      </c>
      <c r="AH20" s="12">
        <f>ROUND(SUM($D$20,$I$20,$N$20,$S$20,$X$20,$AC$20),2)</f>
        <v>280.54</v>
      </c>
      <c r="AI20" s="12">
        <f>ROUND(SUM($G$20,$L$20,$Q$20,$V$20,$AA$20,$AF$20),2)</f>
        <v>16573.13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ROUND(IF($C$21&lt;=0,0,$C$21*MedicalAPR/12),2)</f>
        <v>0.0</v>
      </c>
      <c r="E21" s="12">
        <f>ROUND(IF($C$21&lt;=0,0,MIN(MedicalMinPayment,$C$21+$D$21)),2)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ROUND(IF($H$21&lt;=0,0,$H$21*FurnitureAPR/12),2)</f>
        <v>0.0</v>
      </c>
      <c r="J21" s="12">
        <f>ROUND(IF($H$21&lt;=0,0,MIN(FurnitureMinPayment,$H$21+$I$21)),2)</f>
        <v>0.0</v>
      </c>
      <c r="K21" s="12">
        <f>ROUND(IF($H$21&lt;=0,0,MIN(MAX(0,$H$21+$I$21-$J$21),MAX(0,$AG$21-$F$21))),2)</f>
        <v>0.0</v>
      </c>
      <c r="L21" s="12">
        <f>ROUND(MAX(0,$H$21+$I$21-$J$21-$K$21),2)</f>
        <v>0.0</v>
      </c>
      <c r="M21" s="12">
        <f>$Q$20</f>
        <v>1381.31</v>
      </c>
      <c r="N21" s="12">
        <f>ROUND(IF($M$21&lt;=0,0,$M$21*StoreAPR/12),2)</f>
        <v>34.52</v>
      </c>
      <c r="O21" s="12">
        <f>ROUND(IF($M$21&lt;=0,0,MIN(StoreMinPayment,$M$21+$N$21)),2)</f>
        <v>96.0</v>
      </c>
      <c r="P21" s="12">
        <f>ROUND(IF($M$21&lt;=0,0,MIN(MAX(0,$M$21+$N$21-$O$21),MAX(0,$AG$21-$F$21-$K$21))),2)</f>
        <v>286.0</v>
      </c>
      <c r="Q21" s="12">
        <f>ROUND(MAX(0,$M$21+$N$21-$O$21-$P$21),2)</f>
        <v>1033.83</v>
      </c>
      <c r="R21" s="12">
        <f>$V$20</f>
        <v>3296.24</v>
      </c>
      <c r="S21" s="12">
        <f>ROUND(IF($R$21&lt;=0,0,$R$21*PersonalAPR/12),2)</f>
        <v>37.06</v>
      </c>
      <c r="T21" s="12">
        <f>ROUND(IF($R$21&lt;=0,0,MIN(PersonalMinPayment,$R$21+$S$21)),2)</f>
        <v>154.0</v>
      </c>
      <c r="U21" s="12">
        <f>ROUND(IF($R$21&lt;=0,0,MIN(MAX(0,$R$21+$S$21-$T$21),MAX(0,$AG$21-$F$21-$K$21-$P$21))),2)</f>
        <v>0.0</v>
      </c>
      <c r="V21" s="12">
        <f>ROUND(MAX(0,$R$21+$S$21-$T$21-$U$21),2)</f>
        <v>3179.3</v>
      </c>
      <c r="W21" s="12">
        <f>$AA$20</f>
        <v>4179.78</v>
      </c>
      <c r="X21" s="12">
        <f>ROUND(IF($W$21&lt;=0,0,$W$21*AutoAPR/12),2)</f>
        <v>22.61</v>
      </c>
      <c r="Y21" s="12">
        <f>ROUND(IF($W$21&lt;=0,0,MIN(AutoMinPayment,$W$21+$X$21)),2)</f>
        <v>194.0</v>
      </c>
      <c r="Z21" s="12">
        <f>ROUND(IF($W$21&lt;=0,0,MIN(MAX(0,$W$21+$X$21-$Y$21),MAX(0,$AG$21-$F$21-$K$21-$P$21-$U$21))),2)</f>
        <v>0.0</v>
      </c>
      <c r="AA21" s="12">
        <f>ROUND(MAX(0,$W$21+$X$21-$Y$21-$Z$21),2)</f>
        <v>4008.39</v>
      </c>
      <c r="AB21" s="12">
        <f>$AF$20</f>
        <v>7715.8</v>
      </c>
      <c r="AC21" s="12">
        <f>ROUND(IF($AB$21&lt;=0,0,$AB$21*VisaAPR/12),2)</f>
        <v>173.54</v>
      </c>
      <c r="AD21" s="12">
        <f>ROUND(IF($AB$21&lt;=0,0,MIN(VisaMinPayment,$AB$21+$AC$21)),2)</f>
        <v>270.0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7619.34</v>
      </c>
      <c r="AG21" s="12">
        <f>ROUND(ExtraPayment+IF($G$20&lt;=0,MedicalMinPayment,0)+IF($L$20&lt;=0,FurnitureMinPayment,0)+IF($Q$20&lt;=0,StoreMinPayment,0)+IF($V$20&lt;=0,PersonalMinPayment,0)+IF($AA$20&lt;=0,AutoMinPayment,0)+IF($AF$20&lt;=0,VisaMinPayment,0),2)</f>
        <v>286.0</v>
      </c>
      <c r="AH21" s="12">
        <f>ROUND(SUM($D$21,$I$21,$N$21,$S$21,$X$21,$AC$21),2)</f>
        <v>267.73</v>
      </c>
      <c r="AI21" s="12">
        <f>ROUND(SUM($G$21,$L$21,$Q$21,$V$21,$AA$21,$AF$21),2)</f>
        <v>15840.86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ROUND(IF($C$22&lt;=0,0,$C$22*MedicalAPR/12),2)</f>
        <v>0.0</v>
      </c>
      <c r="E22" s="12">
        <f>ROUND(IF($C$22&lt;=0,0,MIN(MedicalMinPayment,$C$22+$D$22)),2)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ROUND(IF($H$22&lt;=0,0,$H$22*FurnitureAPR/12),2)</f>
        <v>0.0</v>
      </c>
      <c r="J22" s="12">
        <f>ROUND(IF($H$22&lt;=0,0,MIN(FurnitureMinPayment,$H$22+$I$22)),2)</f>
        <v>0.0</v>
      </c>
      <c r="K22" s="12">
        <f>ROUND(IF($H$22&lt;=0,0,MIN(MAX(0,$H$22+$I$22-$J$22),MAX(0,$AG$22-$F$22))),2)</f>
        <v>0.0</v>
      </c>
      <c r="L22" s="12">
        <f>ROUND(MAX(0,$H$22+$I$22-$J$22-$K$22),2)</f>
        <v>0.0</v>
      </c>
      <c r="M22" s="12">
        <f>$Q$21</f>
        <v>1033.83</v>
      </c>
      <c r="N22" s="12">
        <f>ROUND(IF($M$22&lt;=0,0,$M$22*StoreAPR/12),2)</f>
        <v>25.84</v>
      </c>
      <c r="O22" s="12">
        <f>ROUND(IF($M$22&lt;=0,0,MIN(StoreMinPayment,$M$22+$N$22)),2)</f>
        <v>96.0</v>
      </c>
      <c r="P22" s="12">
        <f>ROUND(IF($M$22&lt;=0,0,MIN(MAX(0,$M$22+$N$22-$O$22),MAX(0,$AG$22-$F$22-$K$22))),2)</f>
        <v>286.0</v>
      </c>
      <c r="Q22" s="12">
        <f>ROUND(MAX(0,$M$22+$N$22-$O$22-$P$22),2)</f>
        <v>677.67</v>
      </c>
      <c r="R22" s="12">
        <f>$V$21</f>
        <v>3179.3</v>
      </c>
      <c r="S22" s="12">
        <f>ROUND(IF($R$22&lt;=0,0,$R$22*PersonalAPR/12),2)</f>
        <v>35.74</v>
      </c>
      <c r="T22" s="12">
        <f>ROUND(IF($R$22&lt;=0,0,MIN(PersonalMinPayment,$R$22+$S$22)),2)</f>
        <v>154.0</v>
      </c>
      <c r="U22" s="12">
        <f>ROUND(IF($R$22&lt;=0,0,MIN(MAX(0,$R$22+$S$22-$T$22),MAX(0,$AG$22-$F$22-$K$22-$P$22))),2)</f>
        <v>0.0</v>
      </c>
      <c r="V22" s="12">
        <f>ROUND(MAX(0,$R$22+$S$22-$T$22-$U$22),2)</f>
        <v>3061.04</v>
      </c>
      <c r="W22" s="12">
        <f>$AA$21</f>
        <v>4008.39</v>
      </c>
      <c r="X22" s="12">
        <f>ROUND(IF($W$22&lt;=0,0,$W$22*AutoAPR/12),2)</f>
        <v>21.68</v>
      </c>
      <c r="Y22" s="12">
        <f>ROUND(IF($W$22&lt;=0,0,MIN(AutoMinPayment,$W$22+$X$22)),2)</f>
        <v>194.0</v>
      </c>
      <c r="Z22" s="12">
        <f>ROUND(IF($W$22&lt;=0,0,MIN(MAX(0,$W$22+$X$22-$Y$22),MAX(0,$AG$22-$F$22-$K$22-$P$22-$U$22))),2)</f>
        <v>0.0</v>
      </c>
      <c r="AA22" s="12">
        <f>ROUND(MAX(0,$W$22+$X$22-$Y$22-$Z$22),2)</f>
        <v>3836.07</v>
      </c>
      <c r="AB22" s="12">
        <f>$AF$21</f>
        <v>7619.34</v>
      </c>
      <c r="AC22" s="12">
        <f>ROUND(IF($AB$22&lt;=0,0,$AB$22*VisaAPR/12),2)</f>
        <v>171.37</v>
      </c>
      <c r="AD22" s="12">
        <f>ROUND(IF($AB$22&lt;=0,0,MIN(VisaMinPayment,$AB$22+$AC$22)),2)</f>
        <v>270.0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7520.71</v>
      </c>
      <c r="AG22" s="12">
        <f>ROUND(ExtraPayment+IF($G$21&lt;=0,MedicalMinPayment,0)+IF($L$21&lt;=0,FurnitureMinPayment,0)+IF($Q$21&lt;=0,StoreMinPayment,0)+IF($V$21&lt;=0,PersonalMinPayment,0)+IF($AA$21&lt;=0,AutoMinPayment,0)+IF($AF$21&lt;=0,VisaMinPayment,0),2)</f>
        <v>286.0</v>
      </c>
      <c r="AH22" s="12">
        <f>ROUND(SUM($D$22,$I$22,$N$22,$S$22,$X$22,$AC$22),2)</f>
        <v>254.63</v>
      </c>
      <c r="AI22" s="12">
        <f>ROUND(SUM($G$22,$L$22,$Q$22,$V$22,$AA$22,$AF$22),2)</f>
        <v>15095.49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ROUND(IF($C$23&lt;=0,0,$C$23*MedicalAPR/12),2)</f>
        <v>0.0</v>
      </c>
      <c r="E23" s="12">
        <f>ROUND(IF($C$23&lt;=0,0,MIN(MedicalMinPayment,$C$23+$D$23)),2)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ROUND(IF($H$23&lt;=0,0,$H$23*FurnitureAPR/12),2)</f>
        <v>0.0</v>
      </c>
      <c r="J23" s="12">
        <f>ROUND(IF($H$23&lt;=0,0,MIN(FurnitureMinPayment,$H$23+$I$23)),2)</f>
        <v>0.0</v>
      </c>
      <c r="K23" s="12">
        <f>ROUND(IF($H$23&lt;=0,0,MIN(MAX(0,$H$23+$I$23-$J$23),MAX(0,$AG$23-$F$23))),2)</f>
        <v>0.0</v>
      </c>
      <c r="L23" s="12">
        <f>ROUND(MAX(0,$H$23+$I$23-$J$23-$K$23),2)</f>
        <v>0.0</v>
      </c>
      <c r="M23" s="12">
        <f>$Q$22</f>
        <v>677.67</v>
      </c>
      <c r="N23" s="12">
        <f>ROUND(IF($M$23&lt;=0,0,$M$23*StoreAPR/12),2)</f>
        <v>16.94</v>
      </c>
      <c r="O23" s="12">
        <f>ROUND(IF($M$23&lt;=0,0,MIN(StoreMinPayment,$M$23+$N$23)),2)</f>
        <v>96.0</v>
      </c>
      <c r="P23" s="12">
        <f>ROUND(IF($M$23&lt;=0,0,MIN(MAX(0,$M$23+$N$23-$O$23),MAX(0,$AG$23-$F$23-$K$23))),2)</f>
        <v>286.0</v>
      </c>
      <c r="Q23" s="12">
        <f>ROUND(MAX(0,$M$23+$N$23-$O$23-$P$23),2)</f>
        <v>312.61</v>
      </c>
      <c r="R23" s="12">
        <f>$V$22</f>
        <v>3061.04</v>
      </c>
      <c r="S23" s="12">
        <f>ROUND(IF($R$23&lt;=0,0,$R$23*PersonalAPR/12),2)</f>
        <v>34.41</v>
      </c>
      <c r="T23" s="12">
        <f>ROUND(IF($R$23&lt;=0,0,MIN(PersonalMinPayment,$R$23+$S$23)),2)</f>
        <v>154.0</v>
      </c>
      <c r="U23" s="12">
        <f>ROUND(IF($R$23&lt;=0,0,MIN(MAX(0,$R$23+$S$23-$T$23),MAX(0,$AG$23-$F$23-$K$23-$P$23))),2)</f>
        <v>0.0</v>
      </c>
      <c r="V23" s="12">
        <f>ROUND(MAX(0,$R$23+$S$23-$T$23-$U$23),2)</f>
        <v>2941.45</v>
      </c>
      <c r="W23" s="12">
        <f>$AA$22</f>
        <v>3836.07</v>
      </c>
      <c r="X23" s="12">
        <f>ROUND(IF($W$23&lt;=0,0,$W$23*AutoAPR/12),2)</f>
        <v>20.75</v>
      </c>
      <c r="Y23" s="12">
        <f>ROUND(IF($W$23&lt;=0,0,MIN(AutoMinPayment,$W$23+$X$23)),2)</f>
        <v>194.0</v>
      </c>
      <c r="Z23" s="12">
        <f>ROUND(IF($W$23&lt;=0,0,MIN(MAX(0,$W$23+$X$23-$Y$23),MAX(0,$AG$23-$F$23-$K$23-$P$23-$U$23))),2)</f>
        <v>0.0</v>
      </c>
      <c r="AA23" s="12">
        <f>ROUND(MAX(0,$W$23+$X$23-$Y$23-$Z$23),2)</f>
        <v>3662.82</v>
      </c>
      <c r="AB23" s="12">
        <f>$AF$22</f>
        <v>7520.71</v>
      </c>
      <c r="AC23" s="12">
        <f>ROUND(IF($AB$23&lt;=0,0,$AB$23*VisaAPR/12),2)</f>
        <v>169.15</v>
      </c>
      <c r="AD23" s="12">
        <f>ROUND(IF($AB$23&lt;=0,0,MIN(VisaMinPayment,$AB$23+$AC$23)),2)</f>
        <v>270.0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7419.86</v>
      </c>
      <c r="AG23" s="12">
        <f>ROUND(ExtraPayment+IF($G$22&lt;=0,MedicalMinPayment,0)+IF($L$22&lt;=0,FurnitureMinPayment,0)+IF($Q$22&lt;=0,StoreMinPayment,0)+IF($V$22&lt;=0,PersonalMinPayment,0)+IF($AA$22&lt;=0,AutoMinPayment,0)+IF($AF$22&lt;=0,VisaMinPayment,0),2)</f>
        <v>286.0</v>
      </c>
      <c r="AH23" s="12">
        <f>ROUND(SUM($D$23,$I$23,$N$23,$S$23,$X$23,$AC$23),2)</f>
        <v>241.25</v>
      </c>
      <c r="AI23" s="12">
        <f>ROUND(SUM($G$23,$L$23,$Q$23,$V$23,$AA$23,$AF$23),2)</f>
        <v>14336.74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ROUND(IF($C$24&lt;=0,0,$C$24*MedicalAPR/12),2)</f>
        <v>0.0</v>
      </c>
      <c r="E24" s="12">
        <f>ROUND(IF($C$24&lt;=0,0,MIN(MedicalMinPayment,$C$24+$D$24)),2)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ROUND(IF($H$24&lt;=0,0,$H$24*FurnitureAPR/12),2)</f>
        <v>0.0</v>
      </c>
      <c r="J24" s="12">
        <f>ROUND(IF($H$24&lt;=0,0,MIN(FurnitureMinPayment,$H$24+$I$24)),2)</f>
        <v>0.0</v>
      </c>
      <c r="K24" s="12">
        <f>ROUND(IF($H$24&lt;=0,0,MIN(MAX(0,$H$24+$I$24-$J$24),MAX(0,$AG$24-$F$24))),2)</f>
        <v>0.0</v>
      </c>
      <c r="L24" s="12">
        <f>ROUND(MAX(0,$H$24+$I$24-$J$24-$K$24),2)</f>
        <v>0.0</v>
      </c>
      <c r="M24" s="12">
        <f>$Q$23</f>
        <v>312.61</v>
      </c>
      <c r="N24" s="12">
        <f>ROUND(IF($M$24&lt;=0,0,$M$24*StoreAPR/12),2)</f>
        <v>7.81</v>
      </c>
      <c r="O24" s="12">
        <f>ROUND(IF($M$24&lt;=0,0,MIN(StoreMinPayment,$M$24+$N$24)),2)</f>
        <v>96.0</v>
      </c>
      <c r="P24" s="12">
        <f>ROUND(IF($M$24&lt;=0,0,MIN(MAX(0,$M$24+$N$24-$O$24),MAX(0,$AG$24-$F$24-$K$24))),2)</f>
        <v>224.42</v>
      </c>
      <c r="Q24" s="12">
        <f>ROUND(MAX(0,$M$24+$N$24-$O$24-$P$24),2)</f>
        <v>0.0</v>
      </c>
      <c r="R24" s="12">
        <f>$V$23</f>
        <v>2941.45</v>
      </c>
      <c r="S24" s="12">
        <f>ROUND(IF($R$24&lt;=0,0,$R$24*PersonalAPR/12),2)</f>
        <v>33.07</v>
      </c>
      <c r="T24" s="12">
        <f>ROUND(IF($R$24&lt;=0,0,MIN(PersonalMinPayment,$R$24+$S$24)),2)</f>
        <v>154.0</v>
      </c>
      <c r="U24" s="12">
        <f>ROUND(IF($R$24&lt;=0,0,MIN(MAX(0,$R$24+$S$24-$T$24),MAX(0,$AG$24-$F$24-$K$24-$P$24))),2)</f>
        <v>61.58</v>
      </c>
      <c r="V24" s="12">
        <f>ROUND(MAX(0,$R$24+$S$24-$T$24-$U$24),2)</f>
        <v>2758.94</v>
      </c>
      <c r="W24" s="12">
        <f>$AA$23</f>
        <v>3662.82</v>
      </c>
      <c r="X24" s="12">
        <f>ROUND(IF($W$24&lt;=0,0,$W$24*AutoAPR/12),2)</f>
        <v>19.81</v>
      </c>
      <c r="Y24" s="12">
        <f>ROUND(IF($W$24&lt;=0,0,MIN(AutoMinPayment,$W$24+$X$24)),2)</f>
        <v>194.0</v>
      </c>
      <c r="Z24" s="12">
        <f>ROUND(IF($W$24&lt;=0,0,MIN(MAX(0,$W$24+$X$24-$Y$24),MAX(0,$AG$24-$F$24-$K$24-$P$24-$U$24))),2)</f>
        <v>0.0</v>
      </c>
      <c r="AA24" s="12">
        <f>ROUND(MAX(0,$W$24+$X$24-$Y$24-$Z$24),2)</f>
        <v>3488.63</v>
      </c>
      <c r="AB24" s="12">
        <f>$AF$23</f>
        <v>7419.86</v>
      </c>
      <c r="AC24" s="12">
        <f>ROUND(IF($AB$24&lt;=0,0,$AB$24*VisaAPR/12),2)</f>
        <v>166.89</v>
      </c>
      <c r="AD24" s="12">
        <f>ROUND(IF($AB$24&lt;=0,0,MIN(VisaMinPayment,$AB$24+$AC$24)),2)</f>
        <v>270.0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7316.75</v>
      </c>
      <c r="AG24" s="12">
        <f>ROUND(ExtraPayment+IF($G$23&lt;=0,MedicalMinPayment,0)+IF($L$23&lt;=0,FurnitureMinPayment,0)+IF($Q$23&lt;=0,StoreMinPayment,0)+IF($V$23&lt;=0,PersonalMinPayment,0)+IF($AA$23&lt;=0,AutoMinPayment,0)+IF($AF$23&lt;=0,VisaMinPayment,0),2)</f>
        <v>286.0</v>
      </c>
      <c r="AH24" s="12">
        <f>ROUND(SUM($D$24,$I$24,$N$24,$S$24,$X$24,$AC$24),2)</f>
        <v>227.58</v>
      </c>
      <c r="AI24" s="12">
        <f>ROUND(SUM($G$24,$L$24,$Q$24,$V$24,$AA$24,$AF$24),2)</f>
        <v>13564.32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ROUND(IF($C$25&lt;=0,0,$C$25*MedicalAPR/12),2)</f>
        <v>0.0</v>
      </c>
      <c r="E25" s="12">
        <f>ROUND(IF($C$25&lt;=0,0,MIN(MedicalMinPayment,$C$25+$D$25)),2)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ROUND(IF($H$25&lt;=0,0,$H$25*FurnitureAPR/12),2)</f>
        <v>0.0</v>
      </c>
      <c r="J25" s="12">
        <f>ROUND(IF($H$25&lt;=0,0,MIN(FurnitureMinPayment,$H$25+$I$25)),2)</f>
        <v>0.0</v>
      </c>
      <c r="K25" s="12">
        <f>ROUND(IF($H$25&lt;=0,0,MIN(MAX(0,$H$25+$I$25-$J$25),MAX(0,$AG$25-$F$25))),2)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ROUND(IF($M$25&lt;=0,0,$M$25*StoreAPR/12),2)</f>
        <v>0.0</v>
      </c>
      <c r="O25" s="12">
        <f>ROUND(IF($M$25&lt;=0,0,MIN(StoreMinPayment,$M$25+$N$25)),2)</f>
        <v>0.0</v>
      </c>
      <c r="P25" s="12">
        <f>ROUND(IF($M$25&lt;=0,0,MIN(MAX(0,$M$25+$N$25-$O$25),MAX(0,$AG$25-$F$25-$K$25))),2)</f>
        <v>0.0</v>
      </c>
      <c r="Q25" s="12">
        <f>ROUND(MAX(0,$M$25+$N$25-$O$25-$P$25),2)</f>
        <v>0.0</v>
      </c>
      <c r="R25" s="12">
        <f>$V$24</f>
        <v>2758.94</v>
      </c>
      <c r="S25" s="12">
        <f>ROUND(IF($R$25&lt;=0,0,$R$25*PersonalAPR/12),2)</f>
        <v>31.02</v>
      </c>
      <c r="T25" s="12">
        <f>ROUND(IF($R$25&lt;=0,0,MIN(PersonalMinPayment,$R$25+$S$25)),2)</f>
        <v>154.0</v>
      </c>
      <c r="U25" s="12">
        <f>ROUND(IF($R$25&lt;=0,0,MIN(MAX(0,$R$25+$S$25-$T$25),MAX(0,$AG$25-$F$25-$K$25-$P$25))),2)</f>
        <v>382.0</v>
      </c>
      <c r="V25" s="12">
        <f>ROUND(MAX(0,$R$25+$S$25-$T$25-$U$25),2)</f>
        <v>2253.96</v>
      </c>
      <c r="W25" s="12">
        <f>$AA$24</f>
        <v>3488.63</v>
      </c>
      <c r="X25" s="12">
        <f>ROUND(IF($W$25&lt;=0,0,$W$25*AutoAPR/12),2)</f>
        <v>18.87</v>
      </c>
      <c r="Y25" s="12">
        <f>ROUND(IF($W$25&lt;=0,0,MIN(AutoMinPayment,$W$25+$X$25)),2)</f>
        <v>194.0</v>
      </c>
      <c r="Z25" s="12">
        <f>ROUND(IF($W$25&lt;=0,0,MIN(MAX(0,$W$25+$X$25-$Y$25),MAX(0,$AG$25-$F$25-$K$25-$P$25-$U$25))),2)</f>
        <v>0.0</v>
      </c>
      <c r="AA25" s="12">
        <f>ROUND(MAX(0,$W$25+$X$25-$Y$25-$Z$25),2)</f>
        <v>3313.5</v>
      </c>
      <c r="AB25" s="12">
        <f>$AF$24</f>
        <v>7316.75</v>
      </c>
      <c r="AC25" s="12">
        <f>ROUND(IF($AB$25&lt;=0,0,$AB$25*VisaAPR/12),2)</f>
        <v>164.57</v>
      </c>
      <c r="AD25" s="12">
        <f>ROUND(IF($AB$25&lt;=0,0,MIN(VisaMinPayment,$AB$25+$AC$25)),2)</f>
        <v>270.0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7211.32</v>
      </c>
      <c r="AG25" s="12">
        <f>ROUND(ExtraPayment+IF($G$24&lt;=0,MedicalMinPayment,0)+IF($L$24&lt;=0,FurnitureMinPayment,0)+IF($Q$24&lt;=0,StoreMinPayment,0)+IF($V$24&lt;=0,PersonalMinPayment,0)+IF($AA$24&lt;=0,AutoMinPayment,0)+IF($AF$24&lt;=0,VisaMinPayment,0),2)</f>
        <v>382.0</v>
      </c>
      <c r="AH25" s="12">
        <f>ROUND(SUM($D$25,$I$25,$N$25,$S$25,$X$25,$AC$25),2)</f>
        <v>214.46</v>
      </c>
      <c r="AI25" s="12">
        <f>ROUND(SUM($G$25,$L$25,$Q$25,$V$25,$AA$25,$AF$25),2)</f>
        <v>12778.78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ROUND(IF($C$26&lt;=0,0,$C$26*MedicalAPR/12),2)</f>
        <v>0.0</v>
      </c>
      <c r="E26" s="12">
        <f>ROUND(IF($C$26&lt;=0,0,MIN(MedicalMinPayment,$C$26+$D$26)),2)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ROUND(IF($H$26&lt;=0,0,$H$26*FurnitureAPR/12),2)</f>
        <v>0.0</v>
      </c>
      <c r="J26" s="12">
        <f>ROUND(IF($H$26&lt;=0,0,MIN(FurnitureMinPayment,$H$26+$I$26)),2)</f>
        <v>0.0</v>
      </c>
      <c r="K26" s="12">
        <f>ROUND(IF($H$26&lt;=0,0,MIN(MAX(0,$H$26+$I$26-$J$26),MAX(0,$AG$26-$F$26))),2)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ROUND(IF($M$26&lt;=0,0,$M$26*StoreAPR/12),2)</f>
        <v>0.0</v>
      </c>
      <c r="O26" s="12">
        <f>ROUND(IF($M$26&lt;=0,0,MIN(StoreMinPayment,$M$26+$N$26)),2)</f>
        <v>0.0</v>
      </c>
      <c r="P26" s="12">
        <f>ROUND(IF($M$26&lt;=0,0,MIN(MAX(0,$M$26+$N$26-$O$26),MAX(0,$AG$26-$F$26-$K$26))),2)</f>
        <v>0.0</v>
      </c>
      <c r="Q26" s="12">
        <f>ROUND(MAX(0,$M$26+$N$26-$O$26-$P$26),2)</f>
        <v>0.0</v>
      </c>
      <c r="R26" s="12">
        <f>$V$25</f>
        <v>2253.96</v>
      </c>
      <c r="S26" s="12">
        <f>ROUND(IF($R$26&lt;=0,0,$R$26*PersonalAPR/12),2)</f>
        <v>25.34</v>
      </c>
      <c r="T26" s="12">
        <f>ROUND(IF($R$26&lt;=0,0,MIN(PersonalMinPayment,$R$26+$S$26)),2)</f>
        <v>154.0</v>
      </c>
      <c r="U26" s="12">
        <f>ROUND(IF($R$26&lt;=0,0,MIN(MAX(0,$R$26+$S$26-$T$26),MAX(0,$AG$26-$F$26-$K$26-$P$26))),2)</f>
        <v>382.0</v>
      </c>
      <c r="V26" s="12">
        <f>ROUND(MAX(0,$R$26+$S$26-$T$26-$U$26),2)</f>
        <v>1743.3</v>
      </c>
      <c r="W26" s="12">
        <f>$AA$25</f>
        <v>3313.5</v>
      </c>
      <c r="X26" s="12">
        <f>ROUND(IF($W$26&lt;=0,0,$W$26*AutoAPR/12),2)</f>
        <v>17.92</v>
      </c>
      <c r="Y26" s="12">
        <f>ROUND(IF($W$26&lt;=0,0,MIN(AutoMinPayment,$W$26+$X$26)),2)</f>
        <v>194.0</v>
      </c>
      <c r="Z26" s="12">
        <f>ROUND(IF($W$26&lt;=0,0,MIN(MAX(0,$W$26+$X$26-$Y$26),MAX(0,$AG$26-$F$26-$K$26-$P$26-$U$26))),2)</f>
        <v>0.0</v>
      </c>
      <c r="AA26" s="12">
        <f>ROUND(MAX(0,$W$26+$X$26-$Y$26-$Z$26),2)</f>
        <v>3137.42</v>
      </c>
      <c r="AB26" s="12">
        <f>$AF$25</f>
        <v>7211.32</v>
      </c>
      <c r="AC26" s="12">
        <f>ROUND(IF($AB$26&lt;=0,0,$AB$26*VisaAPR/12),2)</f>
        <v>162.19</v>
      </c>
      <c r="AD26" s="12">
        <f>ROUND(IF($AB$26&lt;=0,0,MIN(VisaMinPayment,$AB$26+$AC$26)),2)</f>
        <v>270.0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7103.51</v>
      </c>
      <c r="AG26" s="12">
        <f>ROUND(ExtraPayment+IF($G$25&lt;=0,MedicalMinPayment,0)+IF($L$25&lt;=0,FurnitureMinPayment,0)+IF($Q$25&lt;=0,StoreMinPayment,0)+IF($V$25&lt;=0,PersonalMinPayment,0)+IF($AA$25&lt;=0,AutoMinPayment,0)+IF($AF$25&lt;=0,VisaMinPayment,0),2)</f>
        <v>382.0</v>
      </c>
      <c r="AH26" s="12">
        <f>ROUND(SUM($D$26,$I$26,$N$26,$S$26,$X$26,$AC$26),2)</f>
        <v>205.45</v>
      </c>
      <c r="AI26" s="12">
        <f>ROUND(SUM($G$26,$L$26,$Q$26,$V$26,$AA$26,$AF$26),2)</f>
        <v>11984.23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ROUND(IF($C$27&lt;=0,0,$C$27*MedicalAPR/12),2)</f>
        <v>0.0</v>
      </c>
      <c r="E27" s="12">
        <f>ROUND(IF($C$27&lt;=0,0,MIN(MedicalMinPayment,$C$27+$D$27)),2)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ROUND(IF($H$27&lt;=0,0,$H$27*FurnitureAPR/12),2)</f>
        <v>0.0</v>
      </c>
      <c r="J27" s="12">
        <f>ROUND(IF($H$27&lt;=0,0,MIN(FurnitureMinPayment,$H$27+$I$27)),2)</f>
        <v>0.0</v>
      </c>
      <c r="K27" s="12">
        <f>ROUND(IF($H$27&lt;=0,0,MIN(MAX(0,$H$27+$I$27-$J$27),MAX(0,$AG$27-$F$27))),2)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ROUND(IF($M$27&lt;=0,0,$M$27*StoreAPR/12),2)</f>
        <v>0.0</v>
      </c>
      <c r="O27" s="12">
        <f>ROUND(IF($M$27&lt;=0,0,MIN(StoreMinPayment,$M$27+$N$27)),2)</f>
        <v>0.0</v>
      </c>
      <c r="P27" s="12">
        <f>ROUND(IF($M$27&lt;=0,0,MIN(MAX(0,$M$27+$N$27-$O$27),MAX(0,$AG$27-$F$27-$K$27))),2)</f>
        <v>0.0</v>
      </c>
      <c r="Q27" s="12">
        <f>ROUND(MAX(0,$M$27+$N$27-$O$27-$P$27),2)</f>
        <v>0.0</v>
      </c>
      <c r="R27" s="12">
        <f>$V$26</f>
        <v>1743.3</v>
      </c>
      <c r="S27" s="12">
        <f>ROUND(IF($R$27&lt;=0,0,$R$27*PersonalAPR/12),2)</f>
        <v>19.6</v>
      </c>
      <c r="T27" s="12">
        <f>ROUND(IF($R$27&lt;=0,0,MIN(PersonalMinPayment,$R$27+$S$27)),2)</f>
        <v>154.0</v>
      </c>
      <c r="U27" s="12">
        <f>ROUND(IF($R$27&lt;=0,0,MIN(MAX(0,$R$27+$S$27-$T$27),MAX(0,$AG$27-$F$27-$K$27-$P$27))),2)</f>
        <v>382.0</v>
      </c>
      <c r="V27" s="12">
        <f>ROUND(MAX(0,$R$27+$S$27-$T$27-$U$27),2)</f>
        <v>1226.9</v>
      </c>
      <c r="W27" s="12">
        <f>$AA$26</f>
        <v>3137.42</v>
      </c>
      <c r="X27" s="12">
        <f>ROUND(IF($W$27&lt;=0,0,$W$27*AutoAPR/12),2)</f>
        <v>16.97</v>
      </c>
      <c r="Y27" s="12">
        <f>ROUND(IF($W$27&lt;=0,0,MIN(AutoMinPayment,$W$27+$X$27)),2)</f>
        <v>194.0</v>
      </c>
      <c r="Z27" s="12">
        <f>ROUND(IF($W$27&lt;=0,0,MIN(MAX(0,$W$27+$X$27-$Y$27),MAX(0,$AG$27-$F$27-$K$27-$P$27-$U$27))),2)</f>
        <v>0.0</v>
      </c>
      <c r="AA27" s="12">
        <f>ROUND(MAX(0,$W$27+$X$27-$Y$27-$Z$27),2)</f>
        <v>2960.39</v>
      </c>
      <c r="AB27" s="12">
        <f>$AF$26</f>
        <v>7103.51</v>
      </c>
      <c r="AC27" s="12">
        <f>ROUND(IF($AB$27&lt;=0,0,$AB$27*VisaAPR/12),2)</f>
        <v>159.77</v>
      </c>
      <c r="AD27" s="12">
        <f>ROUND(IF($AB$27&lt;=0,0,MIN(VisaMinPayment,$AB$27+$AC$27)),2)</f>
        <v>270.0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6993.28</v>
      </c>
      <c r="AG27" s="12">
        <f>ROUND(ExtraPayment+IF($G$26&lt;=0,MedicalMinPayment,0)+IF($L$26&lt;=0,FurnitureMinPayment,0)+IF($Q$26&lt;=0,StoreMinPayment,0)+IF($V$26&lt;=0,PersonalMinPayment,0)+IF($AA$26&lt;=0,AutoMinPayment,0)+IF($AF$26&lt;=0,VisaMinPayment,0),2)</f>
        <v>382.0</v>
      </c>
      <c r="AH27" s="12">
        <f>ROUND(SUM($D$27,$I$27,$N$27,$S$27,$X$27,$AC$27),2)</f>
        <v>196.34</v>
      </c>
      <c r="AI27" s="12">
        <f>ROUND(SUM($G$27,$L$27,$Q$27,$V$27,$AA$27,$AF$27),2)</f>
        <v>11180.57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ROUND(IF($C$28&lt;=0,0,$C$28*MedicalAPR/12),2)</f>
        <v>0.0</v>
      </c>
      <c r="E28" s="12">
        <f>ROUND(IF($C$28&lt;=0,0,MIN(MedicalMinPayment,$C$28+$D$28)),2)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ROUND(IF($H$28&lt;=0,0,$H$28*FurnitureAPR/12),2)</f>
        <v>0.0</v>
      </c>
      <c r="J28" s="12">
        <f>ROUND(IF($H$28&lt;=0,0,MIN(FurnitureMinPayment,$H$28+$I$28)),2)</f>
        <v>0.0</v>
      </c>
      <c r="K28" s="12">
        <f>ROUND(IF($H$28&lt;=0,0,MIN(MAX(0,$H$28+$I$28-$J$28),MAX(0,$AG$28-$F$28))),2)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ROUND(IF($M$28&lt;=0,0,$M$28*StoreAPR/12),2)</f>
        <v>0.0</v>
      </c>
      <c r="O28" s="12">
        <f>ROUND(IF($M$28&lt;=0,0,MIN(StoreMinPayment,$M$28+$N$28)),2)</f>
        <v>0.0</v>
      </c>
      <c r="P28" s="12">
        <f>ROUND(IF($M$28&lt;=0,0,MIN(MAX(0,$M$28+$N$28-$O$28),MAX(0,$AG$28-$F$28-$K$28))),2)</f>
        <v>0.0</v>
      </c>
      <c r="Q28" s="12">
        <f>ROUND(MAX(0,$M$28+$N$28-$O$28-$P$28),2)</f>
        <v>0.0</v>
      </c>
      <c r="R28" s="12">
        <f>$V$27</f>
        <v>1226.9</v>
      </c>
      <c r="S28" s="12">
        <f>ROUND(IF($R$28&lt;=0,0,$R$28*PersonalAPR/12),2)</f>
        <v>13.79</v>
      </c>
      <c r="T28" s="12">
        <f>ROUND(IF($R$28&lt;=0,0,MIN(PersonalMinPayment,$R$28+$S$28)),2)</f>
        <v>154.0</v>
      </c>
      <c r="U28" s="12">
        <f>ROUND(IF($R$28&lt;=0,0,MIN(MAX(0,$R$28+$S$28-$T$28),MAX(0,$AG$28-$F$28-$K$28-$P$28))),2)</f>
        <v>382.0</v>
      </c>
      <c r="V28" s="12">
        <f>ROUND(MAX(0,$R$28+$S$28-$T$28-$U$28),2)</f>
        <v>704.69</v>
      </c>
      <c r="W28" s="12">
        <f>$AA$27</f>
        <v>2960.39</v>
      </c>
      <c r="X28" s="12">
        <f>ROUND(IF($W$28&lt;=0,0,$W$28*AutoAPR/12),2)</f>
        <v>16.01</v>
      </c>
      <c r="Y28" s="12">
        <f>ROUND(IF($W$28&lt;=0,0,MIN(AutoMinPayment,$W$28+$X$28)),2)</f>
        <v>194.0</v>
      </c>
      <c r="Z28" s="12">
        <f>ROUND(IF($W$28&lt;=0,0,MIN(MAX(0,$W$28+$X$28-$Y$28),MAX(0,$AG$28-$F$28-$K$28-$P$28-$U$28))),2)</f>
        <v>0.0</v>
      </c>
      <c r="AA28" s="12">
        <f>ROUND(MAX(0,$W$28+$X$28-$Y$28-$Z$28),2)</f>
        <v>2782.4</v>
      </c>
      <c r="AB28" s="12">
        <f>$AF$27</f>
        <v>6993.28</v>
      </c>
      <c r="AC28" s="12">
        <f>ROUND(IF($AB$28&lt;=0,0,$AB$28*VisaAPR/12),2)</f>
        <v>157.29</v>
      </c>
      <c r="AD28" s="12">
        <f>ROUND(IF($AB$28&lt;=0,0,MIN(VisaMinPayment,$AB$28+$AC$28)),2)</f>
        <v>270.0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6880.57</v>
      </c>
      <c r="AG28" s="12">
        <f>ROUND(ExtraPayment+IF($G$27&lt;=0,MedicalMinPayment,0)+IF($L$27&lt;=0,FurnitureMinPayment,0)+IF($Q$27&lt;=0,StoreMinPayment,0)+IF($V$27&lt;=0,PersonalMinPayment,0)+IF($AA$27&lt;=0,AutoMinPayment,0)+IF($AF$27&lt;=0,VisaMinPayment,0),2)</f>
        <v>382.0</v>
      </c>
      <c r="AH28" s="12">
        <f>ROUND(SUM($D$28,$I$28,$N$28,$S$28,$X$28,$AC$28),2)</f>
        <v>187.09</v>
      </c>
      <c r="AI28" s="12">
        <f>ROUND(SUM($G$28,$L$28,$Q$28,$V$28,$AA$28,$AF$28),2)</f>
        <v>10367.66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ROUND(IF($C$29&lt;=0,0,$C$29*MedicalAPR/12),2)</f>
        <v>0.0</v>
      </c>
      <c r="E29" s="12">
        <f>ROUND(IF($C$29&lt;=0,0,MIN(MedicalMinPayment,$C$29+$D$29)),2)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ROUND(IF($H$29&lt;=0,0,$H$29*FurnitureAPR/12),2)</f>
        <v>0.0</v>
      </c>
      <c r="J29" s="12">
        <f>ROUND(IF($H$29&lt;=0,0,MIN(FurnitureMinPayment,$H$29+$I$29)),2)</f>
        <v>0.0</v>
      </c>
      <c r="K29" s="12">
        <f>ROUND(IF($H$29&lt;=0,0,MIN(MAX(0,$H$29+$I$29-$J$29),MAX(0,$AG$29-$F$29))),2)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ROUND(IF($M$29&lt;=0,0,$M$29*StoreAPR/12),2)</f>
        <v>0.0</v>
      </c>
      <c r="O29" s="12">
        <f>ROUND(IF($M$29&lt;=0,0,MIN(StoreMinPayment,$M$29+$N$29)),2)</f>
        <v>0.0</v>
      </c>
      <c r="P29" s="12">
        <f>ROUND(IF($M$29&lt;=0,0,MIN(MAX(0,$M$29+$N$29-$O$29),MAX(0,$AG$29-$F$29-$K$29))),2)</f>
        <v>0.0</v>
      </c>
      <c r="Q29" s="12">
        <f>ROUND(MAX(0,$M$29+$N$29-$O$29-$P$29),2)</f>
        <v>0.0</v>
      </c>
      <c r="R29" s="12">
        <f>$V$28</f>
        <v>704.69</v>
      </c>
      <c r="S29" s="12">
        <f>ROUND(IF($R$29&lt;=0,0,$R$29*PersonalAPR/12),2)</f>
        <v>7.92</v>
      </c>
      <c r="T29" s="12">
        <f>ROUND(IF($R$29&lt;=0,0,MIN(PersonalMinPayment,$R$29+$S$29)),2)</f>
        <v>154.0</v>
      </c>
      <c r="U29" s="12">
        <f>ROUND(IF($R$29&lt;=0,0,MIN(MAX(0,$R$29+$S$29-$T$29),MAX(0,$AG$29-$F$29-$K$29-$P$29))),2)</f>
        <v>382.0</v>
      </c>
      <c r="V29" s="12">
        <f>ROUND(MAX(0,$R$29+$S$29-$T$29-$U$29),2)</f>
        <v>176.61</v>
      </c>
      <c r="W29" s="12">
        <f>$AA$28</f>
        <v>2782.4</v>
      </c>
      <c r="X29" s="12">
        <f>ROUND(IF($W$29&lt;=0,0,$W$29*AutoAPR/12),2)</f>
        <v>15.05</v>
      </c>
      <c r="Y29" s="12">
        <f>ROUND(IF($W$29&lt;=0,0,MIN(AutoMinPayment,$W$29+$X$29)),2)</f>
        <v>194.0</v>
      </c>
      <c r="Z29" s="12">
        <f>ROUND(IF($W$29&lt;=0,0,MIN(MAX(0,$W$29+$X$29-$Y$29),MAX(0,$AG$29-$F$29-$K$29-$P$29-$U$29))),2)</f>
        <v>0.0</v>
      </c>
      <c r="AA29" s="12">
        <f>ROUND(MAX(0,$W$29+$X$29-$Y$29-$Z$29),2)</f>
        <v>2603.45</v>
      </c>
      <c r="AB29" s="12">
        <f>$AF$28</f>
        <v>6880.57</v>
      </c>
      <c r="AC29" s="12">
        <f>ROUND(IF($AB$29&lt;=0,0,$AB$29*VisaAPR/12),2)</f>
        <v>154.76</v>
      </c>
      <c r="AD29" s="12">
        <f>ROUND(IF($AB$29&lt;=0,0,MIN(VisaMinPayment,$AB$29+$AC$29)),2)</f>
        <v>270.0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6765.33</v>
      </c>
      <c r="AG29" s="12">
        <f>ROUND(ExtraPayment+IF($G$28&lt;=0,MedicalMinPayment,0)+IF($L$28&lt;=0,FurnitureMinPayment,0)+IF($Q$28&lt;=0,StoreMinPayment,0)+IF($V$28&lt;=0,PersonalMinPayment,0)+IF($AA$28&lt;=0,AutoMinPayment,0)+IF($AF$28&lt;=0,VisaMinPayment,0),2)</f>
        <v>382.0</v>
      </c>
      <c r="AH29" s="12">
        <f>ROUND(SUM($D$29,$I$29,$N$29,$S$29,$X$29,$AC$29),2)</f>
        <v>177.73</v>
      </c>
      <c r="AI29" s="12">
        <f>ROUND(SUM($G$29,$L$29,$Q$29,$V$29,$AA$29,$AF$29),2)</f>
        <v>9545.39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ROUND(IF($C$30&lt;=0,0,$C$30*MedicalAPR/12),2)</f>
        <v>0.0</v>
      </c>
      <c r="E30" s="12">
        <f>ROUND(IF($C$30&lt;=0,0,MIN(MedicalMinPayment,$C$30+$D$30)),2)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ROUND(IF($H$30&lt;=0,0,$H$30*FurnitureAPR/12),2)</f>
        <v>0.0</v>
      </c>
      <c r="J30" s="12">
        <f>ROUND(IF($H$30&lt;=0,0,MIN(FurnitureMinPayment,$H$30+$I$30)),2)</f>
        <v>0.0</v>
      </c>
      <c r="K30" s="12">
        <f>ROUND(IF($H$30&lt;=0,0,MIN(MAX(0,$H$30+$I$30-$J$30),MAX(0,$AG$30-$F$30))),2)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ROUND(IF($M$30&lt;=0,0,$M$30*StoreAPR/12),2)</f>
        <v>0.0</v>
      </c>
      <c r="O30" s="12">
        <f>ROUND(IF($M$30&lt;=0,0,MIN(StoreMinPayment,$M$30+$N$30)),2)</f>
        <v>0.0</v>
      </c>
      <c r="P30" s="12">
        <f>ROUND(IF($M$30&lt;=0,0,MIN(MAX(0,$M$30+$N$30-$O$30),MAX(0,$AG$30-$F$30-$K$30))),2)</f>
        <v>0.0</v>
      </c>
      <c r="Q30" s="12">
        <f>ROUND(MAX(0,$M$30+$N$30-$O$30-$P$30),2)</f>
        <v>0.0</v>
      </c>
      <c r="R30" s="12">
        <f>$V$29</f>
        <v>176.61</v>
      </c>
      <c r="S30" s="12">
        <f>ROUND(IF($R$30&lt;=0,0,$R$30*PersonalAPR/12),2)</f>
        <v>1.99</v>
      </c>
      <c r="T30" s="12">
        <f>ROUND(IF($R$30&lt;=0,0,MIN(PersonalMinPayment,$R$30+$S$30)),2)</f>
        <v>154.0</v>
      </c>
      <c r="U30" s="12">
        <f>ROUND(IF($R$30&lt;=0,0,MIN(MAX(0,$R$30+$S$30-$T$30),MAX(0,$AG$30-$F$30-$K$30-$P$30))),2)</f>
        <v>24.6</v>
      </c>
      <c r="V30" s="12">
        <f>ROUND(MAX(0,$R$30+$S$30-$T$30-$U$30),2)</f>
        <v>0.0</v>
      </c>
      <c r="W30" s="12">
        <f>$AA$29</f>
        <v>2603.45</v>
      </c>
      <c r="X30" s="12">
        <f>ROUND(IF($W$30&lt;=0,0,$W$30*AutoAPR/12),2)</f>
        <v>14.08</v>
      </c>
      <c r="Y30" s="12">
        <f>ROUND(IF($W$30&lt;=0,0,MIN(AutoMinPayment,$W$30+$X$30)),2)</f>
        <v>194.0</v>
      </c>
      <c r="Z30" s="12">
        <f>ROUND(IF($W$30&lt;=0,0,MIN(MAX(0,$W$30+$X$30-$Y$30),MAX(0,$AG$30-$F$30-$K$30-$P$30-$U$30))),2)</f>
        <v>357.4</v>
      </c>
      <c r="AA30" s="12">
        <f>ROUND(MAX(0,$W$30+$X$30-$Y$30-$Z$30),2)</f>
        <v>2066.13</v>
      </c>
      <c r="AB30" s="12">
        <f>$AF$29</f>
        <v>6765.33</v>
      </c>
      <c r="AC30" s="12">
        <f>ROUND(IF($AB$30&lt;=0,0,$AB$30*VisaAPR/12),2)</f>
        <v>152.16</v>
      </c>
      <c r="AD30" s="12">
        <f>ROUND(IF($AB$30&lt;=0,0,MIN(VisaMinPayment,$AB$30+$AC$30)),2)</f>
        <v>270.0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6647.49</v>
      </c>
      <c r="AG30" s="12">
        <f>ROUND(ExtraPayment+IF($G$29&lt;=0,MedicalMinPayment,0)+IF($L$29&lt;=0,FurnitureMinPayment,0)+IF($Q$29&lt;=0,StoreMinPayment,0)+IF($V$29&lt;=0,PersonalMinPayment,0)+IF($AA$29&lt;=0,AutoMinPayment,0)+IF($AF$29&lt;=0,VisaMinPayment,0),2)</f>
        <v>382.0</v>
      </c>
      <c r="AH30" s="12">
        <f>ROUND(SUM($D$30,$I$30,$N$30,$S$30,$X$30,$AC$30),2)</f>
        <v>168.23</v>
      </c>
      <c r="AI30" s="12">
        <f>ROUND(SUM($G$30,$L$30,$Q$30,$V$30,$AA$30,$AF$30),2)</f>
        <v>8713.62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ROUND(IF($C$31&lt;=0,0,$C$31*MedicalAPR/12),2)</f>
        <v>0.0</v>
      </c>
      <c r="E31" s="12">
        <f>ROUND(IF($C$31&lt;=0,0,MIN(MedicalMinPayment,$C$31+$D$31)),2)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ROUND(IF($H$31&lt;=0,0,$H$31*FurnitureAPR/12),2)</f>
        <v>0.0</v>
      </c>
      <c r="J31" s="12">
        <f>ROUND(IF($H$31&lt;=0,0,MIN(FurnitureMinPayment,$H$31+$I$31)),2)</f>
        <v>0.0</v>
      </c>
      <c r="K31" s="12">
        <f>ROUND(IF($H$31&lt;=0,0,MIN(MAX(0,$H$31+$I$31-$J$31),MAX(0,$AG$31-$F$31))),2)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ROUND(IF($M$31&lt;=0,0,$M$31*StoreAPR/12),2)</f>
        <v>0.0</v>
      </c>
      <c r="O31" s="12">
        <f>ROUND(IF($M$31&lt;=0,0,MIN(StoreMinPayment,$M$31+$N$31)),2)</f>
        <v>0.0</v>
      </c>
      <c r="P31" s="12">
        <f>ROUND(IF($M$31&lt;=0,0,MIN(MAX(0,$M$31+$N$31-$O$31),MAX(0,$AG$31-$F$31-$K$31))),2)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ROUND(IF($R$31&lt;=0,0,$R$31*PersonalAPR/12),2)</f>
        <v>0.0</v>
      </c>
      <c r="T31" s="12">
        <f>ROUND(IF($R$31&lt;=0,0,MIN(PersonalMinPayment,$R$31+$S$31)),2)</f>
        <v>0.0</v>
      </c>
      <c r="U31" s="12">
        <f>ROUND(IF($R$31&lt;=0,0,MIN(MAX(0,$R$31+$S$31-$T$31),MAX(0,$AG$31-$F$31-$K$31-$P$31))),2)</f>
        <v>0.0</v>
      </c>
      <c r="V31" s="12">
        <f>ROUND(MAX(0,$R$31+$S$31-$T$31-$U$31),2)</f>
        <v>0.0</v>
      </c>
      <c r="W31" s="12">
        <f>$AA$30</f>
        <v>2066.13</v>
      </c>
      <c r="X31" s="12">
        <f>ROUND(IF($W$31&lt;=0,0,$W$31*AutoAPR/12),2)</f>
        <v>11.17</v>
      </c>
      <c r="Y31" s="12">
        <f>ROUND(IF($W$31&lt;=0,0,MIN(AutoMinPayment,$W$31+$X$31)),2)</f>
        <v>194.0</v>
      </c>
      <c r="Z31" s="12">
        <f>ROUND(IF($W$31&lt;=0,0,MIN(MAX(0,$W$31+$X$31-$Y$31),MAX(0,$AG$31-$F$31-$K$31-$P$31-$U$31))),2)</f>
        <v>536.0</v>
      </c>
      <c r="AA31" s="12">
        <f>ROUND(MAX(0,$W$31+$X$31-$Y$31-$Z$31),2)</f>
        <v>1347.3</v>
      </c>
      <c r="AB31" s="12">
        <f>$AF$30</f>
        <v>6647.49</v>
      </c>
      <c r="AC31" s="12">
        <f>ROUND(IF($AB$31&lt;=0,0,$AB$31*VisaAPR/12),2)</f>
        <v>149.51</v>
      </c>
      <c r="AD31" s="12">
        <f>ROUND(IF($AB$31&lt;=0,0,MIN(VisaMinPayment,$AB$31+$AC$31)),2)</f>
        <v>270.0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6527.0</v>
      </c>
      <c r="AG31" s="12">
        <f>ROUND(ExtraPayment+IF($G$30&lt;=0,MedicalMinPayment,0)+IF($L$30&lt;=0,FurnitureMinPayment,0)+IF($Q$30&lt;=0,StoreMinPayment,0)+IF($V$30&lt;=0,PersonalMinPayment,0)+IF($AA$30&lt;=0,AutoMinPayment,0)+IF($AF$30&lt;=0,VisaMinPayment,0),2)</f>
        <v>536.0</v>
      </c>
      <c r="AH31" s="12">
        <f>ROUND(SUM($D$31,$I$31,$N$31,$S$31,$X$31,$AC$31),2)</f>
        <v>160.68</v>
      </c>
      <c r="AI31" s="12">
        <f>ROUND(SUM($G$31,$L$31,$Q$31,$V$31,$AA$31,$AF$31),2)</f>
        <v>7874.3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ROUND(IF($C$32&lt;=0,0,$C$32*MedicalAPR/12),2)</f>
        <v>0.0</v>
      </c>
      <c r="E32" s="12">
        <f>ROUND(IF($C$32&lt;=0,0,MIN(MedicalMinPayment,$C$32+$D$32)),2)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ROUND(IF($H$32&lt;=0,0,$H$32*FurnitureAPR/12),2)</f>
        <v>0.0</v>
      </c>
      <c r="J32" s="12">
        <f>ROUND(IF($H$32&lt;=0,0,MIN(FurnitureMinPayment,$H$32+$I$32)),2)</f>
        <v>0.0</v>
      </c>
      <c r="K32" s="12">
        <f>ROUND(IF($H$32&lt;=0,0,MIN(MAX(0,$H$32+$I$32-$J$32),MAX(0,$AG$32-$F$32))),2)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ROUND(IF($M$32&lt;=0,0,$M$32*StoreAPR/12),2)</f>
        <v>0.0</v>
      </c>
      <c r="O32" s="12">
        <f>ROUND(IF($M$32&lt;=0,0,MIN(StoreMinPayment,$M$32+$N$32)),2)</f>
        <v>0.0</v>
      </c>
      <c r="P32" s="12">
        <f>ROUND(IF($M$32&lt;=0,0,MIN(MAX(0,$M$32+$N$32-$O$32),MAX(0,$AG$32-$F$32-$K$32))),2)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ROUND(IF($R$32&lt;=0,0,$R$32*PersonalAPR/12),2)</f>
        <v>0.0</v>
      </c>
      <c r="T32" s="12">
        <f>ROUND(IF($R$32&lt;=0,0,MIN(PersonalMinPayment,$R$32+$S$32)),2)</f>
        <v>0.0</v>
      </c>
      <c r="U32" s="12">
        <f>ROUND(IF($R$32&lt;=0,0,MIN(MAX(0,$R$32+$S$32-$T$32),MAX(0,$AG$32-$F$32-$K$32-$P$32))),2)</f>
        <v>0.0</v>
      </c>
      <c r="V32" s="12">
        <f>ROUND(MAX(0,$R$32+$S$32-$T$32-$U$32),2)</f>
        <v>0.0</v>
      </c>
      <c r="W32" s="12">
        <f>$AA$31</f>
        <v>1347.3</v>
      </c>
      <c r="X32" s="12">
        <f>ROUND(IF($W$32&lt;=0,0,$W$32*AutoAPR/12),2)</f>
        <v>7.29</v>
      </c>
      <c r="Y32" s="12">
        <f>ROUND(IF($W$32&lt;=0,0,MIN(AutoMinPayment,$W$32+$X$32)),2)</f>
        <v>194.0</v>
      </c>
      <c r="Z32" s="12">
        <f>ROUND(IF($W$32&lt;=0,0,MIN(MAX(0,$W$32+$X$32-$Y$32),MAX(0,$AG$32-$F$32-$K$32-$P$32-$U$32))),2)</f>
        <v>536.0</v>
      </c>
      <c r="AA32" s="12">
        <f>ROUND(MAX(0,$W$32+$X$32-$Y$32-$Z$32),2)</f>
        <v>624.59</v>
      </c>
      <c r="AB32" s="12">
        <f>$AF$31</f>
        <v>6527.0</v>
      </c>
      <c r="AC32" s="12">
        <f>ROUND(IF($AB$32&lt;=0,0,$AB$32*VisaAPR/12),2)</f>
        <v>146.8</v>
      </c>
      <c r="AD32" s="12">
        <f>ROUND(IF($AB$32&lt;=0,0,MIN(VisaMinPayment,$AB$32+$AC$32)),2)</f>
        <v>270.0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6403.8</v>
      </c>
      <c r="AG32" s="12">
        <f>ROUND(ExtraPayment+IF($G$31&lt;=0,MedicalMinPayment,0)+IF($L$31&lt;=0,FurnitureMinPayment,0)+IF($Q$31&lt;=0,StoreMinPayment,0)+IF($V$31&lt;=0,PersonalMinPayment,0)+IF($AA$31&lt;=0,AutoMinPayment,0)+IF($AF$31&lt;=0,VisaMinPayment,0),2)</f>
        <v>536.0</v>
      </c>
      <c r="AH32" s="12">
        <f>ROUND(SUM($D$32,$I$32,$N$32,$S$32,$X$32,$AC$32),2)</f>
        <v>154.09</v>
      </c>
      <c r="AI32" s="12">
        <f>ROUND(SUM($G$32,$L$32,$Q$32,$V$32,$AA$32,$AF$32),2)</f>
        <v>7028.39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ROUND(IF($C$33&lt;=0,0,$C$33*MedicalAPR/12),2)</f>
        <v>0.0</v>
      </c>
      <c r="E33" s="12">
        <f>ROUND(IF($C$33&lt;=0,0,MIN(MedicalMinPayment,$C$33+$D$33)),2)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ROUND(IF($H$33&lt;=0,0,$H$33*FurnitureAPR/12),2)</f>
        <v>0.0</v>
      </c>
      <c r="J33" s="12">
        <f>ROUND(IF($H$33&lt;=0,0,MIN(FurnitureMinPayment,$H$33+$I$33)),2)</f>
        <v>0.0</v>
      </c>
      <c r="K33" s="12">
        <f>ROUND(IF($H$33&lt;=0,0,MIN(MAX(0,$H$33+$I$33-$J$33),MAX(0,$AG$33-$F$33))),2)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ROUND(IF($M$33&lt;=0,0,$M$33*StoreAPR/12),2)</f>
        <v>0.0</v>
      </c>
      <c r="O33" s="12">
        <f>ROUND(IF($M$33&lt;=0,0,MIN(StoreMinPayment,$M$33+$N$33)),2)</f>
        <v>0.0</v>
      </c>
      <c r="P33" s="12">
        <f>ROUND(IF($M$33&lt;=0,0,MIN(MAX(0,$M$33+$N$33-$O$33),MAX(0,$AG$33-$F$33-$K$33))),2)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ROUND(IF($R$33&lt;=0,0,$R$33*PersonalAPR/12),2)</f>
        <v>0.0</v>
      </c>
      <c r="T33" s="12">
        <f>ROUND(IF($R$33&lt;=0,0,MIN(PersonalMinPayment,$R$33+$S$33)),2)</f>
        <v>0.0</v>
      </c>
      <c r="U33" s="12">
        <f>ROUND(IF($R$33&lt;=0,0,MIN(MAX(0,$R$33+$S$33-$T$33),MAX(0,$AG$33-$F$33-$K$33-$P$33))),2)</f>
        <v>0.0</v>
      </c>
      <c r="V33" s="12">
        <f>ROUND(MAX(0,$R$33+$S$33-$T$33-$U$33),2)</f>
        <v>0.0</v>
      </c>
      <c r="W33" s="12">
        <f>$AA$32</f>
        <v>624.59</v>
      </c>
      <c r="X33" s="12">
        <f>ROUND(IF($W$33&lt;=0,0,$W$33*AutoAPR/12),2)</f>
        <v>3.38</v>
      </c>
      <c r="Y33" s="12">
        <f>ROUND(IF($W$33&lt;=0,0,MIN(AutoMinPayment,$W$33+$X$33)),2)</f>
        <v>194.0</v>
      </c>
      <c r="Z33" s="12">
        <f>ROUND(IF($W$33&lt;=0,0,MIN(MAX(0,$W$33+$X$33-$Y$33),MAX(0,$AG$33-$F$33-$K$33-$P$33-$U$33))),2)</f>
        <v>433.97</v>
      </c>
      <c r="AA33" s="12">
        <f>ROUND(MAX(0,$W$33+$X$33-$Y$33-$Z$33),2)</f>
        <v>0.0</v>
      </c>
      <c r="AB33" s="12">
        <f>$AF$32</f>
        <v>6403.8</v>
      </c>
      <c r="AC33" s="12">
        <f>ROUND(IF($AB$33&lt;=0,0,$AB$33*VisaAPR/12),2)</f>
        <v>144.03</v>
      </c>
      <c r="AD33" s="12">
        <f>ROUND(IF($AB$33&lt;=0,0,MIN(VisaMinPayment,$AB$33+$AC$33)),2)</f>
        <v>270.0</v>
      </c>
      <c r="AE33" s="12">
        <f>ROUND(IF($AB$33&lt;=0,0,MIN(MAX(0,$AB$33+$AC$33-$AD$33),MAX(0,$AG$33-$F$33-$K$33-$P$33-$U$33-$Z$33))),2)</f>
        <v>102.03</v>
      </c>
      <c r="AF33" s="12">
        <f>ROUND(MAX(0,$AB$33+$AC$33-$AD$33-$AE$33),2)</f>
        <v>6175.8</v>
      </c>
      <c r="AG33" s="12">
        <f>ROUND(ExtraPayment+IF($G$32&lt;=0,MedicalMinPayment,0)+IF($L$32&lt;=0,FurnitureMinPayment,0)+IF($Q$32&lt;=0,StoreMinPayment,0)+IF($V$32&lt;=0,PersonalMinPayment,0)+IF($AA$32&lt;=0,AutoMinPayment,0)+IF($AF$32&lt;=0,VisaMinPayment,0),2)</f>
        <v>536.0</v>
      </c>
      <c r="AH33" s="12">
        <f>ROUND(SUM($D$33,$I$33,$N$33,$S$33,$X$33,$AC$33),2)</f>
        <v>147.41</v>
      </c>
      <c r="AI33" s="12">
        <f>ROUND(SUM($G$33,$L$33,$Q$33,$V$33,$AA$33,$AF$33),2)</f>
        <v>6175.8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ROUND(IF($C$34&lt;=0,0,$C$34*MedicalAPR/12),2)</f>
        <v>0.0</v>
      </c>
      <c r="E34" s="12">
        <f>ROUND(IF($C$34&lt;=0,0,MIN(MedicalMinPayment,$C$34+$D$34)),2)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ROUND(IF($H$34&lt;=0,0,$H$34*FurnitureAPR/12),2)</f>
        <v>0.0</v>
      </c>
      <c r="J34" s="12">
        <f>ROUND(IF($H$34&lt;=0,0,MIN(FurnitureMinPayment,$H$34+$I$34)),2)</f>
        <v>0.0</v>
      </c>
      <c r="K34" s="12">
        <f>ROUND(IF($H$34&lt;=0,0,MIN(MAX(0,$H$34+$I$34-$J$34),MAX(0,$AG$34-$F$34))),2)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ROUND(IF($M$34&lt;=0,0,$M$34*StoreAPR/12),2)</f>
        <v>0.0</v>
      </c>
      <c r="O34" s="12">
        <f>ROUND(IF($M$34&lt;=0,0,MIN(StoreMinPayment,$M$34+$N$34)),2)</f>
        <v>0.0</v>
      </c>
      <c r="P34" s="12">
        <f>ROUND(IF($M$34&lt;=0,0,MIN(MAX(0,$M$34+$N$34-$O$34),MAX(0,$AG$34-$F$34-$K$34))),2)</f>
        <v>0.0</v>
      </c>
      <c r="Q34" s="12">
        <f>ROUND(MAX(0,$M$34+$N$34-$O$34-$P$34),2)</f>
        <v>0.0</v>
      </c>
      <c r="R34" s="12">
        <f>$V$33</f>
        <v>0.0</v>
      </c>
      <c r="S34" s="12">
        <f>ROUND(IF($R$34&lt;=0,0,$R$34*PersonalAPR/12),2)</f>
        <v>0.0</v>
      </c>
      <c r="T34" s="12">
        <f>ROUND(IF($R$34&lt;=0,0,MIN(PersonalMinPayment,$R$34+$S$34)),2)</f>
        <v>0.0</v>
      </c>
      <c r="U34" s="12">
        <f>ROUND(IF($R$34&lt;=0,0,MIN(MAX(0,$R$34+$S$34-$T$34),MAX(0,$AG$34-$F$34-$K$34-$P$34))),2)</f>
        <v>0.0</v>
      </c>
      <c r="V34" s="12">
        <f>ROUND(MAX(0,$R$34+$S$34-$T$34-$U$34),2)</f>
        <v>0.0</v>
      </c>
      <c r="W34" s="12">
        <f>$AA$33</f>
        <v>0.0</v>
      </c>
      <c r="X34" s="12">
        <f>ROUND(IF($W$34&lt;=0,0,$W$34*AutoAPR/12),2)</f>
        <v>0.0</v>
      </c>
      <c r="Y34" s="12">
        <f>ROUND(IF($W$34&lt;=0,0,MIN(AutoMinPayment,$W$34+$X$34)),2)</f>
        <v>0.0</v>
      </c>
      <c r="Z34" s="12">
        <f>ROUND(IF($W$34&lt;=0,0,MIN(MAX(0,$W$34+$X$34-$Y$34),MAX(0,$AG$34-$F$34-$K$34-$P$34-$U$34))),2)</f>
        <v>0.0</v>
      </c>
      <c r="AA34" s="12">
        <f>ROUND(MAX(0,$W$34+$X$34-$Y$34-$Z$34),2)</f>
        <v>0.0</v>
      </c>
      <c r="AB34" s="12">
        <f>$AF$33</f>
        <v>6175.8</v>
      </c>
      <c r="AC34" s="12">
        <f>ROUND(IF($AB$34&lt;=0,0,$AB$34*VisaAPR/12),2)</f>
        <v>138.9</v>
      </c>
      <c r="AD34" s="12">
        <f>ROUND(IF($AB$34&lt;=0,0,MIN(VisaMinPayment,$AB$34+$AC$34)),2)</f>
        <v>270.0</v>
      </c>
      <c r="AE34" s="12">
        <f>ROUND(IF($AB$34&lt;=0,0,MIN(MAX(0,$AB$34+$AC$34-$AD$34),MAX(0,$AG$34-$F$34-$K$34-$P$34-$U$34-$Z$34))),2)</f>
        <v>730.0</v>
      </c>
      <c r="AF34" s="12">
        <f>ROUND(MAX(0,$AB$34+$AC$34-$AD$34-$AE$34),2)</f>
        <v>5314.7</v>
      </c>
      <c r="AG34" s="12">
        <f>ROUND(ExtraPayment+IF($G$33&lt;=0,MedicalMinPayment,0)+IF($L$33&lt;=0,FurnitureMinPayment,0)+IF($Q$33&lt;=0,StoreMinPayment,0)+IF($V$33&lt;=0,PersonalMinPayment,0)+IF($AA$33&lt;=0,AutoMinPayment,0)+IF($AF$33&lt;=0,VisaMinPayment,0),2)</f>
        <v>730.0</v>
      </c>
      <c r="AH34" s="12">
        <f>ROUND(SUM($D$34,$I$34,$N$34,$S$34,$X$34,$AC$34),2)</f>
        <v>138.9</v>
      </c>
      <c r="AI34" s="12">
        <f>ROUND(SUM($G$34,$L$34,$Q$34,$V$34,$AA$34,$AF$34),2)</f>
        <v>5314.7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ROUND(IF($C$35&lt;=0,0,$C$35*MedicalAPR/12),2)</f>
        <v>0.0</v>
      </c>
      <c r="E35" s="12">
        <f>ROUND(IF($C$35&lt;=0,0,MIN(MedicalMinPayment,$C$35+$D$35)),2)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ROUND(IF($H$35&lt;=0,0,$H$35*FurnitureAPR/12),2)</f>
        <v>0.0</v>
      </c>
      <c r="J35" s="12">
        <f>ROUND(IF($H$35&lt;=0,0,MIN(FurnitureMinPayment,$H$35+$I$35)),2)</f>
        <v>0.0</v>
      </c>
      <c r="K35" s="12">
        <f>ROUND(IF($H$35&lt;=0,0,MIN(MAX(0,$H$35+$I$35-$J$35),MAX(0,$AG$35-$F$35))),2)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ROUND(IF($M$35&lt;=0,0,$M$35*StoreAPR/12),2)</f>
        <v>0.0</v>
      </c>
      <c r="O35" s="12">
        <f>ROUND(IF($M$35&lt;=0,0,MIN(StoreMinPayment,$M$35+$N$35)),2)</f>
        <v>0.0</v>
      </c>
      <c r="P35" s="12">
        <f>ROUND(IF($M$35&lt;=0,0,MIN(MAX(0,$M$35+$N$35-$O$35),MAX(0,$AG$35-$F$35-$K$35))),2)</f>
        <v>0.0</v>
      </c>
      <c r="Q35" s="12">
        <f>ROUND(MAX(0,$M$35+$N$35-$O$35-$P$35),2)</f>
        <v>0.0</v>
      </c>
      <c r="R35" s="12">
        <f>$V$34</f>
        <v>0.0</v>
      </c>
      <c r="S35" s="12">
        <f>ROUND(IF($R$35&lt;=0,0,$R$35*PersonalAPR/12),2)</f>
        <v>0.0</v>
      </c>
      <c r="T35" s="12">
        <f>ROUND(IF($R$35&lt;=0,0,MIN(PersonalMinPayment,$R$35+$S$35)),2)</f>
        <v>0.0</v>
      </c>
      <c r="U35" s="12">
        <f>ROUND(IF($R$35&lt;=0,0,MIN(MAX(0,$R$35+$S$35-$T$35),MAX(0,$AG$35-$F$35-$K$35-$P$35))),2)</f>
        <v>0.0</v>
      </c>
      <c r="V35" s="12">
        <f>ROUND(MAX(0,$R$35+$S$35-$T$35-$U$35),2)</f>
        <v>0.0</v>
      </c>
      <c r="W35" s="12">
        <f>$AA$34</f>
        <v>0.0</v>
      </c>
      <c r="X35" s="12">
        <f>ROUND(IF($W$35&lt;=0,0,$W$35*AutoAPR/12),2)</f>
        <v>0.0</v>
      </c>
      <c r="Y35" s="12">
        <f>ROUND(IF($W$35&lt;=0,0,MIN(AutoMinPayment,$W$35+$X$35)),2)</f>
        <v>0.0</v>
      </c>
      <c r="Z35" s="12">
        <f>ROUND(IF($W$35&lt;=0,0,MIN(MAX(0,$W$35+$X$35-$Y$35),MAX(0,$AG$35-$F$35-$K$35-$P$35-$U$35))),2)</f>
        <v>0.0</v>
      </c>
      <c r="AA35" s="12">
        <f>ROUND(MAX(0,$W$35+$X$35-$Y$35-$Z$35),2)</f>
        <v>0.0</v>
      </c>
      <c r="AB35" s="12">
        <f>$AF$34</f>
        <v>5314.7</v>
      </c>
      <c r="AC35" s="12">
        <f>ROUND(IF($AB$35&lt;=0,0,$AB$35*VisaAPR/12),2)</f>
        <v>119.54</v>
      </c>
      <c r="AD35" s="12">
        <f>ROUND(IF($AB$35&lt;=0,0,MIN(VisaMinPayment,$AB$35+$AC$35)),2)</f>
        <v>270.0</v>
      </c>
      <c r="AE35" s="12">
        <f>ROUND(IF($AB$35&lt;=0,0,MIN(MAX(0,$AB$35+$AC$35-$AD$35),MAX(0,$AG$35-$F$35-$K$35-$P$35-$U$35-$Z$35))),2)</f>
        <v>730.0</v>
      </c>
      <c r="AF35" s="12">
        <f>ROUND(MAX(0,$AB$35+$AC$35-$AD$35-$AE$35),2)</f>
        <v>4434.24</v>
      </c>
      <c r="AG35" s="12">
        <f>ROUND(ExtraPayment+IF($G$34&lt;=0,MedicalMinPayment,0)+IF($L$34&lt;=0,FurnitureMinPayment,0)+IF($Q$34&lt;=0,StoreMinPayment,0)+IF($V$34&lt;=0,PersonalMinPayment,0)+IF($AA$34&lt;=0,AutoMinPayment,0)+IF($AF$34&lt;=0,VisaMinPayment,0),2)</f>
        <v>730.0</v>
      </c>
      <c r="AH35" s="12">
        <f>ROUND(SUM($D$35,$I$35,$N$35,$S$35,$X$35,$AC$35),2)</f>
        <v>119.54</v>
      </c>
      <c r="AI35" s="12">
        <f>ROUND(SUM($G$35,$L$35,$Q$35,$V$35,$AA$35,$AF$35),2)</f>
        <v>4434.24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ROUND(IF($C$36&lt;=0,0,$C$36*MedicalAPR/12),2)</f>
        <v>0.0</v>
      </c>
      <c r="E36" s="12">
        <f>ROUND(IF($C$36&lt;=0,0,MIN(MedicalMinPayment,$C$36+$D$36)),2)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ROUND(IF($H$36&lt;=0,0,$H$36*FurnitureAPR/12),2)</f>
        <v>0.0</v>
      </c>
      <c r="J36" s="12">
        <f>ROUND(IF($H$36&lt;=0,0,MIN(FurnitureMinPayment,$H$36+$I$36)),2)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ROUND(IF($M$36&lt;=0,0,$M$36*StoreAPR/12),2)</f>
        <v>0.0</v>
      </c>
      <c r="O36" s="12">
        <f>ROUND(IF($M$36&lt;=0,0,MIN(StoreMinPayment,$M$36+$N$36)),2)</f>
        <v>0.0</v>
      </c>
      <c r="P36" s="12">
        <f>ROUND(IF($M$36&lt;=0,0,MIN(MAX(0,$M$36+$N$36-$O$36),MAX(0,$AG$36-$F$36-$K$36))),2)</f>
        <v>0.0</v>
      </c>
      <c r="Q36" s="12">
        <f>ROUND(MAX(0,$M$36+$N$36-$O$36-$P$36),2)</f>
        <v>0.0</v>
      </c>
      <c r="R36" s="12">
        <f>$V$35</f>
        <v>0.0</v>
      </c>
      <c r="S36" s="12">
        <f>ROUND(IF($R$36&lt;=0,0,$R$36*PersonalAPR/12),2)</f>
        <v>0.0</v>
      </c>
      <c r="T36" s="12">
        <f>ROUND(IF($R$36&lt;=0,0,MIN(PersonalMinPayment,$R$36+$S$36)),2)</f>
        <v>0.0</v>
      </c>
      <c r="U36" s="12">
        <f>ROUND(IF($R$36&lt;=0,0,MIN(MAX(0,$R$36+$S$36-$T$36),MAX(0,$AG$36-$F$36-$K$36-$P$36))),2)</f>
        <v>0.0</v>
      </c>
      <c r="V36" s="12">
        <f>ROUND(MAX(0,$R$36+$S$36-$T$36-$U$36),2)</f>
        <v>0.0</v>
      </c>
      <c r="W36" s="12">
        <f>$AA$35</f>
        <v>0.0</v>
      </c>
      <c r="X36" s="12">
        <f>ROUND(IF($W$36&lt;=0,0,$W$36*AutoAPR/12),2)</f>
        <v>0.0</v>
      </c>
      <c r="Y36" s="12">
        <f>ROUND(IF($W$36&lt;=0,0,MIN(AutoMinPayment,$W$36+$X$36)),2)</f>
        <v>0.0</v>
      </c>
      <c r="Z36" s="12">
        <f>ROUND(IF($W$36&lt;=0,0,MIN(MAX(0,$W$36+$X$36-$Y$36),MAX(0,$AG$36-$F$36-$K$36-$P$36-$U$36))),2)</f>
        <v>0.0</v>
      </c>
      <c r="AA36" s="12">
        <f>ROUND(MAX(0,$W$36+$X$36-$Y$36-$Z$36),2)</f>
        <v>0.0</v>
      </c>
      <c r="AB36" s="12">
        <f>$AF$35</f>
        <v>4434.24</v>
      </c>
      <c r="AC36" s="12">
        <f>ROUND(IF($AB$36&lt;=0,0,$AB$36*VisaAPR/12),2)</f>
        <v>99.73</v>
      </c>
      <c r="AD36" s="12">
        <f>ROUND(IF($AB$36&lt;=0,0,MIN(VisaMinPayment,$AB$36+$AC$36)),2)</f>
        <v>270.0</v>
      </c>
      <c r="AE36" s="12">
        <f>ROUND(IF($AB$36&lt;=0,0,MIN(MAX(0,$AB$36+$AC$36-$AD$36),MAX(0,$AG$36-$F$36-$K$36-$P$36-$U$36-$Z$36))),2)</f>
        <v>730.0</v>
      </c>
      <c r="AF36" s="12">
        <f>ROUND(MAX(0,$AB$36+$AC$36-$AD$36-$AE$36),2)</f>
        <v>3533.97</v>
      </c>
      <c r="AG36" s="12">
        <f>ROUND(ExtraPayment+IF($G$35&lt;=0,MedicalMinPayment,0)+IF($L$35&lt;=0,FurnitureMinPayment,0)+IF($Q$35&lt;=0,StoreMinPayment,0)+IF($V$35&lt;=0,PersonalMinPayment,0)+IF($AA$35&lt;=0,AutoMinPayment,0)+IF($AF$35&lt;=0,VisaMinPayment,0),2)</f>
        <v>730.0</v>
      </c>
      <c r="AH36" s="12">
        <f>ROUND(SUM($D$36,$I$36,$N$36,$S$36,$X$36,$AC$36),2)</f>
        <v>99.73</v>
      </c>
      <c r="AI36" s="12">
        <f>ROUND(SUM($G$36,$L$36,$Q$36,$V$36,$AA$36,$AF$36),2)</f>
        <v>3533.97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ROUND(IF($C$37&lt;=0,0,$C$37*MedicalAPR/12),2)</f>
        <v>0.0</v>
      </c>
      <c r="E37" s="12">
        <f>ROUND(IF($C$37&lt;=0,0,MIN(MedicalMinPayment,$C$37+$D$37)),2)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ROUND(IF($H$37&lt;=0,0,$H$37*FurnitureAPR/12),2)</f>
        <v>0.0</v>
      </c>
      <c r="J37" s="12">
        <f>ROUND(IF($H$37&lt;=0,0,MIN(FurnitureMinPayment,$H$37+$I$37)),2)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ROUND(IF($M$37&lt;=0,0,$M$37*StoreAPR/12),2)</f>
        <v>0.0</v>
      </c>
      <c r="O37" s="12">
        <f>ROUND(IF($M$37&lt;=0,0,MIN(StoreMinPayment,$M$37+$N$37)),2)</f>
        <v>0.0</v>
      </c>
      <c r="P37" s="12">
        <f>ROUND(IF($M$37&lt;=0,0,MIN(MAX(0,$M$37+$N$37-$O$37),MAX(0,$AG$37-$F$37-$K$37))),2)</f>
        <v>0.0</v>
      </c>
      <c r="Q37" s="12">
        <f>ROUND(MAX(0,$M$37+$N$37-$O$37-$P$37),2)</f>
        <v>0.0</v>
      </c>
      <c r="R37" s="12">
        <f>$V$36</f>
        <v>0.0</v>
      </c>
      <c r="S37" s="12">
        <f>ROUND(IF($R$37&lt;=0,0,$R$37*PersonalAPR/12),2)</f>
        <v>0.0</v>
      </c>
      <c r="T37" s="12">
        <f>ROUND(IF($R$37&lt;=0,0,MIN(PersonalMinPayment,$R$37+$S$37)),2)</f>
        <v>0.0</v>
      </c>
      <c r="U37" s="12">
        <f>ROUND(IF($R$37&lt;=0,0,MIN(MAX(0,$R$37+$S$37-$T$37),MAX(0,$AG$37-$F$37-$K$37-$P$37))),2)</f>
        <v>0.0</v>
      </c>
      <c r="V37" s="12">
        <f>ROUND(MAX(0,$R$37+$S$37-$T$37-$U$37),2)</f>
        <v>0.0</v>
      </c>
      <c r="W37" s="12">
        <f>$AA$36</f>
        <v>0.0</v>
      </c>
      <c r="X37" s="12">
        <f>ROUND(IF($W$37&lt;=0,0,$W$37*AutoAPR/12),2)</f>
        <v>0.0</v>
      </c>
      <c r="Y37" s="12">
        <f>ROUND(IF($W$37&lt;=0,0,MIN(AutoMinPayment,$W$37+$X$37)),2)</f>
        <v>0.0</v>
      </c>
      <c r="Z37" s="12">
        <f>ROUND(IF($W$37&lt;=0,0,MIN(MAX(0,$W$37+$X$37-$Y$37),MAX(0,$AG$37-$F$37-$K$37-$P$37-$U$37))),2)</f>
        <v>0.0</v>
      </c>
      <c r="AA37" s="12">
        <f>ROUND(MAX(0,$W$37+$X$37-$Y$37-$Z$37),2)</f>
        <v>0.0</v>
      </c>
      <c r="AB37" s="12">
        <f>$AF$36</f>
        <v>3533.97</v>
      </c>
      <c r="AC37" s="12">
        <f>ROUND(IF($AB$37&lt;=0,0,$AB$37*VisaAPR/12),2)</f>
        <v>79.48</v>
      </c>
      <c r="AD37" s="12">
        <f>ROUND(IF($AB$37&lt;=0,0,MIN(VisaMinPayment,$AB$37+$AC$37)),2)</f>
        <v>270.0</v>
      </c>
      <c r="AE37" s="12">
        <f>ROUND(IF($AB$37&lt;=0,0,MIN(MAX(0,$AB$37+$AC$37-$AD$37),MAX(0,$AG$37-$F$37-$K$37-$P$37-$U$37-$Z$37))),2)</f>
        <v>730.0</v>
      </c>
      <c r="AF37" s="12">
        <f>ROUND(MAX(0,$AB$37+$AC$37-$AD$37-$AE$37),2)</f>
        <v>2613.45</v>
      </c>
      <c r="AG37" s="12">
        <f>ROUND(ExtraPayment+IF($G$36&lt;=0,MedicalMinPayment,0)+IF($L$36&lt;=0,FurnitureMinPayment,0)+IF($Q$36&lt;=0,StoreMinPayment,0)+IF($V$36&lt;=0,PersonalMinPayment,0)+IF($AA$36&lt;=0,AutoMinPayment,0)+IF($AF$36&lt;=0,VisaMinPayment,0),2)</f>
        <v>730.0</v>
      </c>
      <c r="AH37" s="12">
        <f>ROUND(SUM($D$37,$I$37,$N$37,$S$37,$X$37,$AC$37),2)</f>
        <v>79.48</v>
      </c>
      <c r="AI37" s="12">
        <f>ROUND(SUM($G$37,$L$37,$Q$37,$V$37,$AA$37,$AF$37),2)</f>
        <v>2613.45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ROUND(IF($C$38&lt;=0,0,$C$38*MedicalAPR/12),2)</f>
        <v>0.0</v>
      </c>
      <c r="E38" s="12">
        <f>ROUND(IF($C$38&lt;=0,0,MIN(MedicalMinPayment,$C$38+$D$38)),2)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ROUND(IF($H$38&lt;=0,0,$H$38*FurnitureAPR/12),2)</f>
        <v>0.0</v>
      </c>
      <c r="J38" s="12">
        <f>ROUND(IF($H$38&lt;=0,0,MIN(FurnitureMinPayment,$H$38+$I$38)),2)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ROUND(IF($M$38&lt;=0,0,$M$38*StoreAPR/12),2)</f>
        <v>0.0</v>
      </c>
      <c r="O38" s="12">
        <f>ROUND(IF($M$38&lt;=0,0,MIN(StoreMinPayment,$M$38+$N$38)),2)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ROUND(IF($R$38&lt;=0,0,$R$38*PersonalAPR/12),2)</f>
        <v>0.0</v>
      </c>
      <c r="T38" s="12">
        <f>ROUND(IF($R$38&lt;=0,0,MIN(PersonalMinPayment,$R$38+$S$38)),2)</f>
        <v>0.0</v>
      </c>
      <c r="U38" s="12">
        <f>ROUND(IF($R$38&lt;=0,0,MIN(MAX(0,$R$38+$S$38-$T$38),MAX(0,$AG$38-$F$38-$K$38-$P$38))),2)</f>
        <v>0.0</v>
      </c>
      <c r="V38" s="12">
        <f>ROUND(MAX(0,$R$38+$S$38-$T$38-$U$38),2)</f>
        <v>0.0</v>
      </c>
      <c r="W38" s="12">
        <f>$AA$37</f>
        <v>0.0</v>
      </c>
      <c r="X38" s="12">
        <f>ROUND(IF($W$38&lt;=0,0,$W$38*AutoAPR/12),2)</f>
        <v>0.0</v>
      </c>
      <c r="Y38" s="12">
        <f>ROUND(IF($W$38&lt;=0,0,MIN(AutoMinPayment,$W$38+$X$38)),2)</f>
        <v>0.0</v>
      </c>
      <c r="Z38" s="12">
        <f>ROUND(IF($W$38&lt;=0,0,MIN(MAX(0,$W$38+$X$38-$Y$38),MAX(0,$AG$38-$F$38-$K$38-$P$38-$U$38))),2)</f>
        <v>0.0</v>
      </c>
      <c r="AA38" s="12">
        <f>ROUND(MAX(0,$W$38+$X$38-$Y$38-$Z$38),2)</f>
        <v>0.0</v>
      </c>
      <c r="AB38" s="12">
        <f>$AF$37</f>
        <v>2613.45</v>
      </c>
      <c r="AC38" s="12">
        <f>ROUND(IF($AB$38&lt;=0,0,$AB$38*VisaAPR/12),2)</f>
        <v>58.78</v>
      </c>
      <c r="AD38" s="12">
        <f>ROUND(IF($AB$38&lt;=0,0,MIN(VisaMinPayment,$AB$38+$AC$38)),2)</f>
        <v>270.0</v>
      </c>
      <c r="AE38" s="12">
        <f>ROUND(IF($AB$38&lt;=0,0,MIN(MAX(0,$AB$38+$AC$38-$AD$38),MAX(0,$AG$38-$F$38-$K$38-$P$38-$U$38-$Z$38))),2)</f>
        <v>730.0</v>
      </c>
      <c r="AF38" s="12">
        <f>ROUND(MAX(0,$AB$38+$AC$38-$AD$38-$AE$38),2)</f>
        <v>1672.23</v>
      </c>
      <c r="AG38" s="12">
        <f>ROUND(ExtraPayment+IF($G$37&lt;=0,MedicalMinPayment,0)+IF($L$37&lt;=0,FurnitureMinPayment,0)+IF($Q$37&lt;=0,StoreMinPayment,0)+IF($V$37&lt;=0,PersonalMinPayment,0)+IF($AA$37&lt;=0,AutoMinPayment,0)+IF($AF$37&lt;=0,VisaMinPayment,0),2)</f>
        <v>730.0</v>
      </c>
      <c r="AH38" s="12">
        <f>ROUND(SUM($D$38,$I$38,$N$38,$S$38,$X$38,$AC$38),2)</f>
        <v>58.78</v>
      </c>
      <c r="AI38" s="12">
        <f>ROUND(SUM($G$38,$L$38,$Q$38,$V$38,$AA$38,$AF$38),2)</f>
        <v>1672.23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ROUND(IF($C$39&lt;=0,0,$C$39*MedicalAPR/12),2)</f>
        <v>0.0</v>
      </c>
      <c r="E39" s="12">
        <f>ROUND(IF($C$39&lt;=0,0,MIN(MedicalMinPayment,$C$39+$D$39)),2)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ROUND(IF($H$39&lt;=0,0,$H$39*FurnitureAPR/12),2)</f>
        <v>0.0</v>
      </c>
      <c r="J39" s="12">
        <f>ROUND(IF($H$39&lt;=0,0,MIN(FurnitureMinPayment,$H$39+$I$39)),2)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ROUND(IF($M$39&lt;=0,0,$M$39*StoreAPR/12),2)</f>
        <v>0.0</v>
      </c>
      <c r="O39" s="12">
        <f>ROUND(IF($M$39&lt;=0,0,MIN(StoreMinPayment,$M$39+$N$39)),2)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ROUND(IF($R$39&lt;=0,0,$R$39*PersonalAPR/12),2)</f>
        <v>0.0</v>
      </c>
      <c r="T39" s="12">
        <f>ROUND(IF($R$39&lt;=0,0,MIN(PersonalMinPayment,$R$39+$S$39)),2)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0.0</v>
      </c>
      <c r="X39" s="12">
        <f>ROUND(IF($W$39&lt;=0,0,$W$39*AutoAPR/12),2)</f>
        <v>0.0</v>
      </c>
      <c r="Y39" s="12">
        <f>ROUND(IF($W$39&lt;=0,0,MIN(AutoMinPayment,$W$39+$X$39)),2)</f>
        <v>0.0</v>
      </c>
      <c r="Z39" s="12">
        <f>ROUND(IF($W$39&lt;=0,0,MIN(MAX(0,$W$39+$X$39-$Y$39),MAX(0,$AG$39-$F$39-$K$39-$P$39-$U$39))),2)</f>
        <v>0.0</v>
      </c>
      <c r="AA39" s="12">
        <f>ROUND(MAX(0,$W$39+$X$39-$Y$39-$Z$39),2)</f>
        <v>0.0</v>
      </c>
      <c r="AB39" s="12">
        <f>$AF$38</f>
        <v>1672.23</v>
      </c>
      <c r="AC39" s="12">
        <f>ROUND(IF($AB$39&lt;=0,0,$AB$39*VisaAPR/12),2)</f>
        <v>37.61</v>
      </c>
      <c r="AD39" s="12">
        <f>ROUND(IF($AB$39&lt;=0,0,MIN(VisaMinPayment,$AB$39+$AC$39)),2)</f>
        <v>270.0</v>
      </c>
      <c r="AE39" s="12">
        <f>ROUND(IF($AB$39&lt;=0,0,MIN(MAX(0,$AB$39+$AC$39-$AD$39),MAX(0,$AG$39-$F$39-$K$39-$P$39-$U$39-$Z$39))),2)</f>
        <v>730.0</v>
      </c>
      <c r="AF39" s="12">
        <f>ROUND(MAX(0,$AB$39+$AC$39-$AD$39-$AE$39),2)</f>
        <v>709.84</v>
      </c>
      <c r="AG39" s="12">
        <f>ROUND(ExtraPayment+IF($G$38&lt;=0,MedicalMinPayment,0)+IF($L$38&lt;=0,FurnitureMinPayment,0)+IF($Q$38&lt;=0,StoreMinPayment,0)+IF($V$38&lt;=0,PersonalMinPayment,0)+IF($AA$38&lt;=0,AutoMinPayment,0)+IF($AF$38&lt;=0,VisaMinPayment,0),2)</f>
        <v>730.0</v>
      </c>
      <c r="AH39" s="12">
        <f>ROUND(SUM($D$39,$I$39,$N$39,$S$39,$X$39,$AC$39),2)</f>
        <v>37.61</v>
      </c>
      <c r="AI39" s="12">
        <f>ROUND(SUM($G$39,$L$39,$Q$39,$V$39,$AA$39,$AF$39),2)</f>
        <v>709.84</v>
      </c>
    </row>
    <row r="40" spans="1:35">
      <c r="A40" s="16">
        <f>ROW()-3</f>
        <v>36</v>
      </c>
      <c r="B40" s="17" t="str">
        <f>TEXT(EDATE(StartDate,A40-1),"mmm yyyy")</f>
        <v>Mar 2029</v>
      </c>
      <c r="C40" s="12">
        <f>$G$39</f>
        <v>0.0</v>
      </c>
      <c r="D40" s="12">
        <f>ROUND(IF($C$40&lt;=0,0,$C$40*MedicalAPR/12),2)</f>
        <v>0.0</v>
      </c>
      <c r="E40" s="12">
        <f>ROUND(IF($C$40&lt;=0,0,MIN(MedicalMinPayment,$C$40+$D$40)),2)</f>
        <v>0.0</v>
      </c>
      <c r="F40" s="12">
        <f>ROUND(IF($C$40&lt;=0,0,MIN(MAX(0,$C$40+$D$40-$E$40),$AG$40)),2)</f>
        <v>0.0</v>
      </c>
      <c r="G40" s="12">
        <f>ROUND(MAX(0,$C$40+$D$40-$E$40-$F$40),2)</f>
        <v>0.0</v>
      </c>
      <c r="H40" s="12">
        <f>$L$39</f>
        <v>0.0</v>
      </c>
      <c r="I40" s="12">
        <f>ROUND(IF($H$40&lt;=0,0,$H$40*FurnitureAPR/12),2)</f>
        <v>0.0</v>
      </c>
      <c r="J40" s="12">
        <f>ROUND(IF($H$40&lt;=0,0,MIN(FurnitureMinPayment,$H$40+$I$40)),2)</f>
        <v>0.0</v>
      </c>
      <c r="K40" s="12">
        <f>ROUND(IF($H$40&lt;=0,0,MIN(MAX(0,$H$40+$I$40-$J$40),MAX(0,$AG$40-$F$40))),2)</f>
        <v>0.0</v>
      </c>
      <c r="L40" s="12">
        <f>ROUND(MAX(0,$H$40+$I$40-$J$40-$K$40),2)</f>
        <v>0.0</v>
      </c>
      <c r="M40" s="12">
        <f>$Q$39</f>
        <v>0.0</v>
      </c>
      <c r="N40" s="12">
        <f>ROUND(IF($M$40&lt;=0,0,$M$40*StoreAPR/12),2)</f>
        <v>0.0</v>
      </c>
      <c r="O40" s="12">
        <f>ROUND(IF($M$40&lt;=0,0,MIN(StoreMinPayment,$M$40+$N$40)),2)</f>
        <v>0.0</v>
      </c>
      <c r="P40" s="12">
        <f>ROUND(IF($M$40&lt;=0,0,MIN(MAX(0,$M$40+$N$40-$O$40),MAX(0,$AG$40-$F$40-$K$40))),2)</f>
        <v>0.0</v>
      </c>
      <c r="Q40" s="12">
        <f>ROUND(MAX(0,$M$40+$N$40-$O$40-$P$40),2)</f>
        <v>0.0</v>
      </c>
      <c r="R40" s="12">
        <f>$V$39</f>
        <v>0.0</v>
      </c>
      <c r="S40" s="12">
        <f>ROUND(IF($R$40&lt;=0,0,$R$40*PersonalAPR/12),2)</f>
        <v>0.0</v>
      </c>
      <c r="T40" s="12">
        <f>ROUND(IF($R$40&lt;=0,0,MIN(PersonalMinPayment,$R$40+$S$40)),2)</f>
        <v>0.0</v>
      </c>
      <c r="U40" s="12">
        <f>ROUND(IF($R$40&lt;=0,0,MIN(MAX(0,$R$40+$S$40-$T$40),MAX(0,$AG$40-$F$40-$K$40-$P$40))),2)</f>
        <v>0.0</v>
      </c>
      <c r="V40" s="12">
        <f>ROUND(MAX(0,$R$40+$S$40-$T$40-$U$40),2)</f>
        <v>0.0</v>
      </c>
      <c r="W40" s="12">
        <f>$AA$39</f>
        <v>0.0</v>
      </c>
      <c r="X40" s="12">
        <f>ROUND(IF($W$40&lt;=0,0,$W$40*AutoAPR/12),2)</f>
        <v>0.0</v>
      </c>
      <c r="Y40" s="12">
        <f>ROUND(IF($W$40&lt;=0,0,MIN(AutoMinPayment,$W$40+$X$40)),2)</f>
        <v>0.0</v>
      </c>
      <c r="Z40" s="12">
        <f>ROUND(IF($W$40&lt;=0,0,MIN(MAX(0,$W$40+$X$40-$Y$40),MAX(0,$AG$40-$F$40-$K$40-$P$40-$U$40))),2)</f>
        <v>0.0</v>
      </c>
      <c r="AA40" s="12">
        <f>ROUND(MAX(0,$W$40+$X$40-$Y$40-$Z$40),2)</f>
        <v>0.0</v>
      </c>
      <c r="AB40" s="12">
        <f>$AF$39</f>
        <v>709.84</v>
      </c>
      <c r="AC40" s="12">
        <f>ROUND(IF($AB$40&lt;=0,0,$AB$40*VisaAPR/12),2)</f>
        <v>15.97</v>
      </c>
      <c r="AD40" s="12">
        <f>ROUND(IF($AB$40&lt;=0,0,MIN(VisaMinPayment,$AB$40+$AC$40)),2)</f>
        <v>270.0</v>
      </c>
      <c r="AE40" s="12">
        <f>ROUND(IF($AB$40&lt;=0,0,MIN(MAX(0,$AB$40+$AC$40-$AD$40),MAX(0,$AG$40-$F$40-$K$40-$P$40-$U$40-$Z$40))),2)</f>
        <v>455.81</v>
      </c>
      <c r="AF40" s="12">
        <f>ROUND(MAX(0,$AB$40+$AC$40-$AD$40-$AE$40),2)</f>
        <v>0.0</v>
      </c>
      <c r="AG40" s="12">
        <f>ROUND(ExtraPayment+IF($G$39&lt;=0,MedicalMinPayment,0)+IF($L$39&lt;=0,FurnitureMinPayment,0)+IF($Q$39&lt;=0,StoreMinPayment,0)+IF($V$39&lt;=0,PersonalMinPayment,0)+IF($AA$39&lt;=0,AutoMinPayment,0)+IF($AF$39&lt;=0,VisaMinPayment,0),2)</f>
        <v>730.0</v>
      </c>
      <c r="AH40" s="12">
        <f>ROUND(SUM($D$40,$I$40,$N$40,$S$40,$X$40,$AC$40),2)</f>
        <v>15.97</v>
      </c>
      <c r="AI40" s="12">
        <f>ROUND(SUM($G$40,$L$40,$Q$40,$V$40,$AA$40,$AF$40),2)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Second Win Cost Map&amp;CDebtPayoffSpreadsheet.org&amp;Rv1.0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37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33</v>
      </c>
      <c r="X3" s="11"/>
      <c r="Y3" s="11"/>
      <c r="Z3" s="11"/>
      <c r="AA3" s="11"/>
      <c r="AB3" s="11" t="s">
        <v>39</v>
      </c>
      <c r="AC3" s="11"/>
      <c r="AD3" s="11"/>
      <c r="AE3" s="11"/>
      <c r="AF3" s="11"/>
    </row>
    <row r="4" spans="1:35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44</v>
      </c>
      <c r="AC4" s="7" t="s">
        <v>45</v>
      </c>
      <c r="AD4" s="7" t="s">
        <v>46</v>
      </c>
      <c r="AE4" s="7" t="s">
        <v>47</v>
      </c>
      <c r="AF4" s="7" t="s">
        <v>48</v>
      </c>
      <c r="AG4" s="7" t="s">
        <v>53</v>
      </c>
      <c r="AH4" s="7" t="s">
        <v>54</v>
      </c>
      <c r="AI4" s="7" t="s">
        <v>55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MedicalBalance</f>
        <v>600.0</v>
      </c>
      <c r="D5" s="12">
        <f>ROUND(IF($C$5&lt;=0,0,$C$5*MedicalAPR/12),2)</f>
        <v>0.0</v>
      </c>
      <c r="E5" s="12">
        <f>ROUND(IF($C$5&lt;=0,0,MIN(MedicalMinPayment,$C$5+$D$5)),2)</f>
        <v>50.0</v>
      </c>
      <c r="F5" s="12">
        <f>ROUND(IF($C$5&lt;=0,0,MIN(MAX(0,$C$5+$D$5-$E$5),$AG$5)),2)</f>
        <v>164.0</v>
      </c>
      <c r="G5" s="12">
        <f>ROUND(MAX(0,$C$5+$D$5-$E$5-$F$5),2)</f>
        <v>386.0</v>
      </c>
      <c r="H5" s="12">
        <f>StoreBalance</f>
        <v>3200.0</v>
      </c>
      <c r="I5" s="12">
        <f>ROUND(IF($H$5&lt;=0,0,$H$5*StoreAPR/12),2)</f>
        <v>79.97</v>
      </c>
      <c r="J5" s="12">
        <f>ROUND(IF($H$5&lt;=0,0,MIN(StoreMinPayment,$H$5+$I$5)),2)</f>
        <v>96.0</v>
      </c>
      <c r="K5" s="12">
        <f>ROUND(IF($H$5&lt;=0,0,MIN(MAX(0,$H$5+$I$5-$J$5),MAX(0,$AG$5-$F$5))),2)</f>
        <v>0.0</v>
      </c>
      <c r="L5" s="12">
        <f>ROUND(MAX(0,$H$5+$I$5-$J$5-$K$5),2)</f>
        <v>3183.97</v>
      </c>
      <c r="M5" s="12">
        <f>VisaBalance</f>
        <v>9000.0</v>
      </c>
      <c r="N5" s="12">
        <f>ROUND(IF($M$5&lt;=0,0,$M$5*VisaAPR/12),2)</f>
        <v>202.43</v>
      </c>
      <c r="O5" s="12">
        <f>ROUND(IF($M$5&lt;=0,0,MIN(VisaMinPayment,$M$5+$N$5)),2)</f>
        <v>270.0</v>
      </c>
      <c r="P5" s="12">
        <f>ROUND(IF($M$5&lt;=0,0,MIN(MAX(0,$M$5+$N$5-$O$5),MAX(0,$AG$5-$F$5-$K$5))),2)</f>
        <v>0.0</v>
      </c>
      <c r="Q5" s="12">
        <f>ROUND(MAX(0,$M$5+$N$5-$O$5-$P$5),2)</f>
        <v>8932.43</v>
      </c>
      <c r="R5" s="12">
        <f>PersonalBalance</f>
        <v>5000.0</v>
      </c>
      <c r="S5" s="12">
        <f>ROUND(IF($R$5&lt;=0,0,$R$5*PersonalAPR/12),2)</f>
        <v>56.21</v>
      </c>
      <c r="T5" s="12">
        <f>ROUND(IF($R$5&lt;=0,0,MIN(PersonalMinPayment,$R$5+$S$5)),2)</f>
        <v>154.0</v>
      </c>
      <c r="U5" s="12">
        <f>ROUND(IF($R$5&lt;=0,0,MIN(MAX(0,$R$5+$S$5-$T$5),MAX(0,$AG$5-$F$5-$K$5-$P$5))),2)</f>
        <v>0.0</v>
      </c>
      <c r="V5" s="12">
        <f>ROUND(MAX(0,$R$5+$S$5-$T$5-$U$5),2)</f>
        <v>4902.21</v>
      </c>
      <c r="W5" s="12">
        <f>FurnitureBalance</f>
        <v>2400.0</v>
      </c>
      <c r="X5" s="12">
        <f>ROUND(IF($W$5&lt;=0,0,$W$5*FurnitureAPR/12),2)</f>
        <v>19.98</v>
      </c>
      <c r="Y5" s="12">
        <f>ROUND(IF($W$5&lt;=0,0,MIN(FurnitureMinPayment,$W$5+$X$5)),2)</f>
        <v>72.0</v>
      </c>
      <c r="Z5" s="12">
        <f>ROUND(IF($W$5&lt;=0,0,MIN(MAX(0,$W$5+$X$5-$Y$5),MAX(0,$AG$5-$F$5-$K$5-$P$5-$U$5))),2)</f>
        <v>0.0</v>
      </c>
      <c r="AA5" s="12">
        <f>ROUND(MAX(0,$W$5+$X$5-$Y$5-$Z$5),2)</f>
        <v>2347.98</v>
      </c>
      <c r="AB5" s="12">
        <f>AutoBalance</f>
        <v>6800.0</v>
      </c>
      <c r="AC5" s="12">
        <f>ROUND(IF($AB$5&lt;=0,0,$AB$5*AutoAPR/12),2)</f>
        <v>36.78</v>
      </c>
      <c r="AD5" s="12">
        <f>ROUND(IF($AB$5&lt;=0,0,MIN(AutoMinPayment,$AB$5+$AC$5)),2)</f>
        <v>194.0</v>
      </c>
      <c r="AE5" s="12">
        <f>ROUND(IF($AB$5&lt;=0,0,MIN(MAX(0,$AB$5+$AC$5-$AD$5),MAX(0,$AG$5-$F$5-$K$5-$P$5-$U$5-$Z$5))),2)</f>
        <v>0.0</v>
      </c>
      <c r="AF5" s="12">
        <f>ROUND(MAX(0,$AB$5+$AC$5-$AD$5-$AE$5),2)</f>
        <v>6642.78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386.0</v>
      </c>
      <c r="D6" s="12">
        <f>ROUND(IF($C$6&lt;=0,0,$C$6*MedicalAPR/12),2)</f>
        <v>0.0</v>
      </c>
      <c r="E6" s="12">
        <f>ROUND(IF($C$6&lt;=0,0,MIN(MedicalMinPayment,$C$6+$D$6)),2)</f>
        <v>50.0</v>
      </c>
      <c r="F6" s="12">
        <f>ROUND(IF($C$6&lt;=0,0,MIN(MAX(0,$C$6+$D$6-$E$6),$AG$6)),2)</f>
        <v>164.0</v>
      </c>
      <c r="G6" s="12">
        <f>ROUND(MAX(0,$C$6+$D$6-$E$6-$F$6),2)</f>
        <v>172.0</v>
      </c>
      <c r="H6" s="12">
        <f>$L$5</f>
        <v>3183.97</v>
      </c>
      <c r="I6" s="12">
        <f>ROUND(IF($H$6&lt;=0,0,$H$6*StoreAPR/12),2)</f>
        <v>79.57</v>
      </c>
      <c r="J6" s="12">
        <f>ROUND(IF($H$6&lt;=0,0,MIN(StoreMinPayment,$H$6+$I$6)),2)</f>
        <v>96.0</v>
      </c>
      <c r="K6" s="12">
        <f>ROUND(IF($H$6&lt;=0,0,MIN(MAX(0,$H$6+$I$6-$J$6),MAX(0,$AG$6-$F$6))),2)</f>
        <v>0.0</v>
      </c>
      <c r="L6" s="12">
        <f>ROUND(MAX(0,$H$6+$I$6-$J$6-$K$6),2)</f>
        <v>3167.54</v>
      </c>
      <c r="M6" s="12">
        <f>$Q$5</f>
        <v>8932.43</v>
      </c>
      <c r="N6" s="12">
        <f>ROUND(IF($M$6&lt;=0,0,$M$6*VisaAPR/12),2)</f>
        <v>200.91</v>
      </c>
      <c r="O6" s="12">
        <f>ROUND(IF($M$6&lt;=0,0,MIN(VisaMinPayment,$M$6+$N$6)),2)</f>
        <v>270.0</v>
      </c>
      <c r="P6" s="12">
        <f>ROUND(IF($M$6&lt;=0,0,MIN(MAX(0,$M$6+$N$6-$O$6),MAX(0,$AG$6-$F$6-$K$6))),2)</f>
        <v>0.0</v>
      </c>
      <c r="Q6" s="12">
        <f>ROUND(MAX(0,$M$6+$N$6-$O$6-$P$6),2)</f>
        <v>8863.34</v>
      </c>
      <c r="R6" s="12">
        <f>$V$5</f>
        <v>4902.21</v>
      </c>
      <c r="S6" s="12">
        <f>ROUND(IF($R$6&lt;=0,0,$R$6*PersonalAPR/12),2)</f>
        <v>55.11</v>
      </c>
      <c r="T6" s="12">
        <f>ROUND(IF($R$6&lt;=0,0,MIN(PersonalMinPayment,$R$6+$S$6)),2)</f>
        <v>154.0</v>
      </c>
      <c r="U6" s="12">
        <f>ROUND(IF($R$6&lt;=0,0,MIN(MAX(0,$R$6+$S$6-$T$6),MAX(0,$AG$6-$F$6-$K$6-$P$6))),2)</f>
        <v>0.0</v>
      </c>
      <c r="V6" s="12">
        <f>ROUND(MAX(0,$R$6+$S$6-$T$6-$U$6),2)</f>
        <v>4803.32</v>
      </c>
      <c r="W6" s="12">
        <f>$AA$5</f>
        <v>2347.98</v>
      </c>
      <c r="X6" s="12">
        <f>ROUND(IF($W$6&lt;=0,0,$W$6*FurnitureAPR/12),2)</f>
        <v>19.55</v>
      </c>
      <c r="Y6" s="12">
        <f>ROUND(IF($W$6&lt;=0,0,MIN(FurnitureMinPayment,$W$6+$X$6)),2)</f>
        <v>72.0</v>
      </c>
      <c r="Z6" s="12">
        <f>ROUND(IF($W$6&lt;=0,0,MIN(MAX(0,$W$6+$X$6-$Y$6),MAX(0,$AG$6-$F$6-$K$6-$P$6-$U$6))),2)</f>
        <v>0.0</v>
      </c>
      <c r="AA6" s="12">
        <f>ROUND(MAX(0,$W$6+$X$6-$Y$6-$Z$6),2)</f>
        <v>2295.53</v>
      </c>
      <c r="AB6" s="12">
        <f>$AF$5</f>
        <v>6642.78</v>
      </c>
      <c r="AC6" s="12">
        <f>ROUND(IF($AB$6&lt;=0,0,$AB$6*AutoAPR/12),2)</f>
        <v>35.93</v>
      </c>
      <c r="AD6" s="12">
        <f>ROUND(IF($AB$6&lt;=0,0,MIN(AutoMinPayment,$AB$6+$AC$6)),2)</f>
        <v>194.0</v>
      </c>
      <c r="AE6" s="12">
        <f>ROUND(IF($AB$6&lt;=0,0,MIN(MAX(0,$AB$6+$AC$6-$AD$6),MAX(0,$AG$6-$F$6-$K$6-$P$6-$U$6-$Z$6))),2)</f>
        <v>0.0</v>
      </c>
      <c r="AF6" s="12">
        <f>ROUND(MAX(0,$AB$6+$AC$6-$AD$6-$AE$6),2)</f>
        <v>6484.71</v>
      </c>
      <c r="AG6" s="12">
        <f>ROUND(ExtraPayment+IF($G$5&lt;=0,MedicalMinPayment,0)+IF($L$5&lt;=0,StoreMinPayment,0)+IF($Q$5&lt;=0,VisaMinPayment,0)+IF($V$5&lt;=0,PersonalMinPayment,0)+IF($AA$5&lt;=0,FurnitureMinPayment,0)+IF($AF$5&lt;=0,AutoMinPayment,0),2)</f>
        <v>164.0</v>
      </c>
      <c r="AH6" s="12">
        <f>ROUND(SUM($D$6,$I$6,$N$6,$S$6,$X$6,$AC$6),2)</f>
        <v>391.07</v>
      </c>
      <c r="AI6" s="12">
        <f>ROUND(SUM($G$6,$L$6,$Q$6,$V$6,$AA$6,$AF$6),2)</f>
        <v>25786.44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172.0</v>
      </c>
      <c r="D7" s="12">
        <f>ROUND(IF($C$7&lt;=0,0,$C$7*MedicalAPR/12),2)</f>
        <v>0.0</v>
      </c>
      <c r="E7" s="12">
        <f>ROUND(IF($C$7&lt;=0,0,MIN(MedicalMinPayment,$C$7+$D$7)),2)</f>
        <v>50.0</v>
      </c>
      <c r="F7" s="12">
        <f>ROUND(IF($C$7&lt;=0,0,MIN(MAX(0,$C$7+$D$7-$E$7),$AG$7)),2)</f>
        <v>122.0</v>
      </c>
      <c r="G7" s="12">
        <f>ROUND(MAX(0,$C$7+$D$7-$E$7-$F$7),2)</f>
        <v>0.0</v>
      </c>
      <c r="H7" s="12">
        <f>$L$6</f>
        <v>3167.54</v>
      </c>
      <c r="I7" s="12">
        <f>ROUND(IF($H$7&lt;=0,0,$H$7*StoreAPR/12),2)</f>
        <v>79.16</v>
      </c>
      <c r="J7" s="12">
        <f>ROUND(IF($H$7&lt;=0,0,MIN(StoreMinPayment,$H$7+$I$7)),2)</f>
        <v>96.0</v>
      </c>
      <c r="K7" s="12">
        <f>ROUND(IF($H$7&lt;=0,0,MIN(MAX(0,$H$7+$I$7-$J$7),MAX(0,$AG$7-$F$7))),2)</f>
        <v>42.0</v>
      </c>
      <c r="L7" s="12">
        <f>ROUND(MAX(0,$H$7+$I$7-$J$7-$K$7),2)</f>
        <v>3108.7</v>
      </c>
      <c r="M7" s="12">
        <f>$Q$6</f>
        <v>8863.34</v>
      </c>
      <c r="N7" s="12">
        <f>ROUND(IF($M$7&lt;=0,0,$M$7*VisaAPR/12),2)</f>
        <v>199.35</v>
      </c>
      <c r="O7" s="12">
        <f>ROUND(IF($M$7&lt;=0,0,MIN(VisaMinPayment,$M$7+$N$7)),2)</f>
        <v>270.0</v>
      </c>
      <c r="P7" s="12">
        <f>ROUND(IF($M$7&lt;=0,0,MIN(MAX(0,$M$7+$N$7-$O$7),MAX(0,$AG$7-$F$7-$K$7))),2)</f>
        <v>0.0</v>
      </c>
      <c r="Q7" s="12">
        <f>ROUND(MAX(0,$M$7+$N$7-$O$7-$P$7),2)</f>
        <v>8792.69</v>
      </c>
      <c r="R7" s="12">
        <f>$V$6</f>
        <v>4803.32</v>
      </c>
      <c r="S7" s="12">
        <f>ROUND(IF($R$7&lt;=0,0,$R$7*PersonalAPR/12),2)</f>
        <v>54.0</v>
      </c>
      <c r="T7" s="12">
        <f>ROUND(IF($R$7&lt;=0,0,MIN(PersonalMinPayment,$R$7+$S$7)),2)</f>
        <v>154.0</v>
      </c>
      <c r="U7" s="12">
        <f>ROUND(IF($R$7&lt;=0,0,MIN(MAX(0,$R$7+$S$7-$T$7),MAX(0,$AG$7-$F$7-$K$7-$P$7))),2)</f>
        <v>0.0</v>
      </c>
      <c r="V7" s="12">
        <f>ROUND(MAX(0,$R$7+$S$7-$T$7-$U$7),2)</f>
        <v>4703.32</v>
      </c>
      <c r="W7" s="12">
        <f>$AA$6</f>
        <v>2295.53</v>
      </c>
      <c r="X7" s="12">
        <f>ROUND(IF($W$7&lt;=0,0,$W$7*FurnitureAPR/12),2)</f>
        <v>19.11</v>
      </c>
      <c r="Y7" s="12">
        <f>ROUND(IF($W$7&lt;=0,0,MIN(FurnitureMinPayment,$W$7+$X$7)),2)</f>
        <v>72.0</v>
      </c>
      <c r="Z7" s="12">
        <f>ROUND(IF($W$7&lt;=0,0,MIN(MAX(0,$W$7+$X$7-$Y$7),MAX(0,$AG$7-$F$7-$K$7-$P$7-$U$7))),2)</f>
        <v>0.0</v>
      </c>
      <c r="AA7" s="12">
        <f>ROUND(MAX(0,$W$7+$X$7-$Y$7-$Z$7),2)</f>
        <v>2242.64</v>
      </c>
      <c r="AB7" s="12">
        <f>$AF$6</f>
        <v>6484.71</v>
      </c>
      <c r="AC7" s="12">
        <f>ROUND(IF($AB$7&lt;=0,0,$AB$7*AutoAPR/12),2)</f>
        <v>35.07</v>
      </c>
      <c r="AD7" s="12">
        <f>ROUND(IF($AB$7&lt;=0,0,MIN(AutoMinPayment,$AB$7+$AC$7)),2)</f>
        <v>194.0</v>
      </c>
      <c r="AE7" s="12">
        <f>ROUND(IF($AB$7&lt;=0,0,MIN(MAX(0,$AB$7+$AC$7-$AD$7),MAX(0,$AG$7-$F$7-$K$7-$P$7-$U$7-$Z$7))),2)</f>
        <v>0.0</v>
      </c>
      <c r="AF7" s="12">
        <f>ROUND(MAX(0,$AB$7+$AC$7-$AD$7-$AE$7),2)</f>
        <v>6325.78</v>
      </c>
      <c r="AG7" s="12">
        <f>ROUND(ExtraPayment+IF($G$6&lt;=0,MedicalMinPayment,0)+IF($L$6&lt;=0,StoreMinPayment,0)+IF($Q$6&lt;=0,VisaMinPayment,0)+IF($V$6&lt;=0,PersonalMinPayment,0)+IF($AA$6&lt;=0,FurnitureMinPayment,0)+IF($AF$6&lt;=0,AutoMinPayment,0),2)</f>
        <v>164.0</v>
      </c>
      <c r="AH7" s="12">
        <f>ROUND(SUM($D$7,$I$7,$N$7,$S$7,$X$7,$AC$7),2)</f>
        <v>386.69</v>
      </c>
      <c r="AI7" s="12">
        <f>ROUND(SUM($G$7,$L$7,$Q$7,$V$7,$AA$7,$AF$7),2)</f>
        <v>25173.13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ROUND(IF($C$8&lt;=0,0,$C$8*MedicalAPR/12),2)</f>
        <v>0.0</v>
      </c>
      <c r="E8" s="12">
        <f>ROUND(IF($C$8&lt;=0,0,MIN(MedicalMinPayment,$C$8+$D$8)),2)</f>
        <v>0.0</v>
      </c>
      <c r="F8" s="12">
        <f>ROUND(IF($C$8&lt;=0,0,MIN(MAX(0,$C$8+$D$8-$E$8),$AG$8)),2)</f>
        <v>0.0</v>
      </c>
      <c r="G8" s="12">
        <f>ROUND(MAX(0,$C$8+$D$8-$E$8-$F$8),2)</f>
        <v>0.0</v>
      </c>
      <c r="H8" s="12">
        <f>$L$7</f>
        <v>3108.7</v>
      </c>
      <c r="I8" s="12">
        <f>ROUND(IF($H$8&lt;=0,0,$H$8*StoreAPR/12),2)</f>
        <v>77.69</v>
      </c>
      <c r="J8" s="12">
        <f>ROUND(IF($H$8&lt;=0,0,MIN(StoreMinPayment,$H$8+$I$8)),2)</f>
        <v>96.0</v>
      </c>
      <c r="K8" s="12">
        <f>ROUND(IF($H$8&lt;=0,0,MIN(MAX(0,$H$8+$I$8-$J$8),MAX(0,$AG$8-$F$8))),2)</f>
        <v>214.0</v>
      </c>
      <c r="L8" s="12">
        <f>ROUND(MAX(0,$H$8+$I$8-$J$8-$K$8),2)</f>
        <v>2876.39</v>
      </c>
      <c r="M8" s="12">
        <f>$Q$7</f>
        <v>8792.69</v>
      </c>
      <c r="N8" s="12">
        <f>ROUND(IF($M$8&lt;=0,0,$M$8*VisaAPR/12),2)</f>
        <v>197.76</v>
      </c>
      <c r="O8" s="12">
        <f>ROUND(IF($M$8&lt;=0,0,MIN(VisaMinPayment,$M$8+$N$8)),2)</f>
        <v>270.0</v>
      </c>
      <c r="P8" s="12">
        <f>ROUND(IF($M$8&lt;=0,0,MIN(MAX(0,$M$8+$N$8-$O$8),MAX(0,$AG$8-$F$8-$K$8))),2)</f>
        <v>0.0</v>
      </c>
      <c r="Q8" s="12">
        <f>ROUND(MAX(0,$M$8+$N$8-$O$8-$P$8),2)</f>
        <v>8720.45</v>
      </c>
      <c r="R8" s="12">
        <f>$V$7</f>
        <v>4703.32</v>
      </c>
      <c r="S8" s="12">
        <f>ROUND(IF($R$8&lt;=0,0,$R$8*PersonalAPR/12),2)</f>
        <v>52.87</v>
      </c>
      <c r="T8" s="12">
        <f>ROUND(IF($R$8&lt;=0,0,MIN(PersonalMinPayment,$R$8+$S$8)),2)</f>
        <v>154.0</v>
      </c>
      <c r="U8" s="12">
        <f>ROUND(IF($R$8&lt;=0,0,MIN(MAX(0,$R$8+$S$8-$T$8),MAX(0,$AG$8-$F$8-$K$8-$P$8))),2)</f>
        <v>0.0</v>
      </c>
      <c r="V8" s="12">
        <f>ROUND(MAX(0,$R$8+$S$8-$T$8-$U$8),2)</f>
        <v>4602.19</v>
      </c>
      <c r="W8" s="12">
        <f>$AA$7</f>
        <v>2242.64</v>
      </c>
      <c r="X8" s="12">
        <f>ROUND(IF($W$8&lt;=0,0,$W$8*FurnitureAPR/12),2)</f>
        <v>18.67</v>
      </c>
      <c r="Y8" s="12">
        <f>ROUND(IF($W$8&lt;=0,0,MIN(FurnitureMinPayment,$W$8+$X$8)),2)</f>
        <v>72.0</v>
      </c>
      <c r="Z8" s="12">
        <f>ROUND(IF($W$8&lt;=0,0,MIN(MAX(0,$W$8+$X$8-$Y$8),MAX(0,$AG$8-$F$8-$K$8-$P$8-$U$8))),2)</f>
        <v>0.0</v>
      </c>
      <c r="AA8" s="12">
        <f>ROUND(MAX(0,$W$8+$X$8-$Y$8-$Z$8),2)</f>
        <v>2189.31</v>
      </c>
      <c r="AB8" s="12">
        <f>$AF$7</f>
        <v>6325.78</v>
      </c>
      <c r="AC8" s="12">
        <f>ROUND(IF($AB$8&lt;=0,0,$AB$8*AutoAPR/12),2)</f>
        <v>34.21</v>
      </c>
      <c r="AD8" s="12">
        <f>ROUND(IF($AB$8&lt;=0,0,MIN(AutoMinPayment,$AB$8+$AC$8)),2)</f>
        <v>194.0</v>
      </c>
      <c r="AE8" s="12">
        <f>ROUND(IF($AB$8&lt;=0,0,MIN(MAX(0,$AB$8+$AC$8-$AD$8),MAX(0,$AG$8-$F$8-$K$8-$P$8-$U$8-$Z$8))),2)</f>
        <v>0.0</v>
      </c>
      <c r="AF8" s="12">
        <f>ROUND(MAX(0,$AB$8+$AC$8-$AD$8-$AE$8),2)</f>
        <v>6165.99</v>
      </c>
      <c r="AG8" s="12">
        <f>ROUND(ExtraPayment+IF($G$7&lt;=0,MedicalMinPayment,0)+IF($L$7&lt;=0,StoreMinPayment,0)+IF($Q$7&lt;=0,VisaMinPayment,0)+IF($V$7&lt;=0,PersonalMinPayment,0)+IF($AA$7&lt;=0,FurnitureMinPayment,0)+IF($AF$7&lt;=0,AutoMinPayment,0),2)</f>
        <v>214.0</v>
      </c>
      <c r="AH8" s="12">
        <f>ROUND(SUM($D$8,$I$8,$N$8,$S$8,$X$8,$AC$8),2)</f>
        <v>381.2</v>
      </c>
      <c r="AI8" s="12">
        <f>ROUND(SUM($G$8,$L$8,$Q$8,$V$8,$AA$8,$AF$8),2)</f>
        <v>24554.33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ROUND(IF($C$9&lt;=0,0,$C$9*MedicalAPR/12),2)</f>
        <v>0.0</v>
      </c>
      <c r="E9" s="12">
        <f>ROUND(IF($C$9&lt;=0,0,MIN(MedicalMinPayment,$C$9+$D$9)),2)</f>
        <v>0.0</v>
      </c>
      <c r="F9" s="12">
        <f>ROUND(IF($C$9&lt;=0,0,MIN(MAX(0,$C$9+$D$9-$E$9),$AG$9)),2)</f>
        <v>0.0</v>
      </c>
      <c r="G9" s="12">
        <f>ROUND(MAX(0,$C$9+$D$9-$E$9-$F$9),2)</f>
        <v>0.0</v>
      </c>
      <c r="H9" s="12">
        <f>$L$8</f>
        <v>2876.39</v>
      </c>
      <c r="I9" s="12">
        <f>ROUND(IF($H$9&lt;=0,0,$H$9*StoreAPR/12),2)</f>
        <v>71.89</v>
      </c>
      <c r="J9" s="12">
        <f>ROUND(IF($H$9&lt;=0,0,MIN(StoreMinPayment,$H$9+$I$9)),2)</f>
        <v>96.0</v>
      </c>
      <c r="K9" s="12">
        <f>ROUND(IF($H$9&lt;=0,0,MIN(MAX(0,$H$9+$I$9-$J$9),MAX(0,$AG$9-$F$9))),2)</f>
        <v>214.0</v>
      </c>
      <c r="L9" s="12">
        <f>ROUND(MAX(0,$H$9+$I$9-$J$9-$K$9),2)</f>
        <v>2638.28</v>
      </c>
      <c r="M9" s="12">
        <f>$Q$8</f>
        <v>8720.45</v>
      </c>
      <c r="N9" s="12">
        <f>ROUND(IF($M$9&lt;=0,0,$M$9*VisaAPR/12),2)</f>
        <v>196.14</v>
      </c>
      <c r="O9" s="12">
        <f>ROUND(IF($M$9&lt;=0,0,MIN(VisaMinPayment,$M$9+$N$9)),2)</f>
        <v>270.0</v>
      </c>
      <c r="P9" s="12">
        <f>ROUND(IF($M$9&lt;=0,0,MIN(MAX(0,$M$9+$N$9-$O$9),MAX(0,$AG$9-$F$9-$K$9))),2)</f>
        <v>0.0</v>
      </c>
      <c r="Q9" s="12">
        <f>ROUND(MAX(0,$M$9+$N$9-$O$9-$P$9),2)</f>
        <v>8646.59</v>
      </c>
      <c r="R9" s="12">
        <f>$V$8</f>
        <v>4602.19</v>
      </c>
      <c r="S9" s="12">
        <f>ROUND(IF($R$9&lt;=0,0,$R$9*PersonalAPR/12),2)</f>
        <v>51.74</v>
      </c>
      <c r="T9" s="12">
        <f>ROUND(IF($R$9&lt;=0,0,MIN(PersonalMinPayment,$R$9+$S$9)),2)</f>
        <v>154.0</v>
      </c>
      <c r="U9" s="12">
        <f>ROUND(IF($R$9&lt;=0,0,MIN(MAX(0,$R$9+$S$9-$T$9),MAX(0,$AG$9-$F$9-$K$9-$P$9))),2)</f>
        <v>0.0</v>
      </c>
      <c r="V9" s="12">
        <f>ROUND(MAX(0,$R$9+$S$9-$T$9-$U$9),2)</f>
        <v>4499.93</v>
      </c>
      <c r="W9" s="12">
        <f>$AA$8</f>
        <v>2189.31</v>
      </c>
      <c r="X9" s="12">
        <f>ROUND(IF($W$9&lt;=0,0,$W$9*FurnitureAPR/12),2)</f>
        <v>18.23</v>
      </c>
      <c r="Y9" s="12">
        <f>ROUND(IF($W$9&lt;=0,0,MIN(FurnitureMinPayment,$W$9+$X$9)),2)</f>
        <v>72.0</v>
      </c>
      <c r="Z9" s="12">
        <f>ROUND(IF($W$9&lt;=0,0,MIN(MAX(0,$W$9+$X$9-$Y$9),MAX(0,$AG$9-$F$9-$K$9-$P$9-$U$9))),2)</f>
        <v>0.0</v>
      </c>
      <c r="AA9" s="12">
        <f>ROUND(MAX(0,$W$9+$X$9-$Y$9-$Z$9),2)</f>
        <v>2135.54</v>
      </c>
      <c r="AB9" s="12">
        <f>$AF$8</f>
        <v>6165.99</v>
      </c>
      <c r="AC9" s="12">
        <f>ROUND(IF($AB$9&lt;=0,0,$AB$9*AutoAPR/12),2)</f>
        <v>33.35</v>
      </c>
      <c r="AD9" s="12">
        <f>ROUND(IF($AB$9&lt;=0,0,MIN(AutoMinPayment,$AB$9+$AC$9)),2)</f>
        <v>194.0</v>
      </c>
      <c r="AE9" s="12">
        <f>ROUND(IF($AB$9&lt;=0,0,MIN(MAX(0,$AB$9+$AC$9-$AD$9),MAX(0,$AG$9-$F$9-$K$9-$P$9-$U$9-$Z$9))),2)</f>
        <v>0.0</v>
      </c>
      <c r="AF9" s="12">
        <f>ROUND(MAX(0,$AB$9+$AC$9-$AD$9-$AE$9),2)</f>
        <v>6005.34</v>
      </c>
      <c r="AG9" s="12">
        <f>ROUND(ExtraPayment+IF($G$8&lt;=0,MedicalMinPayment,0)+IF($L$8&lt;=0,StoreMinPayment,0)+IF($Q$8&lt;=0,VisaMinPayment,0)+IF($V$8&lt;=0,PersonalMinPayment,0)+IF($AA$8&lt;=0,FurnitureMinPayment,0)+IF($AF$8&lt;=0,AutoMinPayment,0),2)</f>
        <v>214.0</v>
      </c>
      <c r="AH9" s="12">
        <f>ROUND(SUM($D$9,$I$9,$N$9,$S$9,$X$9,$AC$9),2)</f>
        <v>371.35</v>
      </c>
      <c r="AI9" s="12">
        <f>ROUND(SUM($G$9,$L$9,$Q$9,$V$9,$AA$9,$AF$9),2)</f>
        <v>23925.68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ROUND(IF($C$10&lt;=0,0,$C$10*MedicalAPR/12),2)</f>
        <v>0.0</v>
      </c>
      <c r="E10" s="12">
        <f>ROUND(IF($C$10&lt;=0,0,MIN(MedicalMinPayment,$C$10+$D$10)),2)</f>
        <v>0.0</v>
      </c>
      <c r="F10" s="12">
        <f>ROUND(IF($C$10&lt;=0,0,MIN(MAX(0,$C$10+$D$10-$E$10),$AG$10)),2)</f>
        <v>0.0</v>
      </c>
      <c r="G10" s="12">
        <f>ROUND(MAX(0,$C$10+$D$10-$E$10-$F$10),2)</f>
        <v>0.0</v>
      </c>
      <c r="H10" s="12">
        <f>$L$9</f>
        <v>2638.28</v>
      </c>
      <c r="I10" s="12">
        <f>ROUND(IF($H$10&lt;=0,0,$H$10*StoreAPR/12),2)</f>
        <v>65.94</v>
      </c>
      <c r="J10" s="12">
        <f>ROUND(IF($H$10&lt;=0,0,MIN(StoreMinPayment,$H$10+$I$10)),2)</f>
        <v>96.0</v>
      </c>
      <c r="K10" s="12">
        <f>ROUND(IF($H$10&lt;=0,0,MIN(MAX(0,$H$10+$I$10-$J$10),MAX(0,$AG$10-$F$10))),2)</f>
        <v>214.0</v>
      </c>
      <c r="L10" s="12">
        <f>ROUND(MAX(0,$H$10+$I$10-$J$10-$K$10),2)</f>
        <v>2394.22</v>
      </c>
      <c r="M10" s="12">
        <f>$Q$9</f>
        <v>8646.59</v>
      </c>
      <c r="N10" s="12">
        <f>ROUND(IF($M$10&lt;=0,0,$M$10*VisaAPR/12),2)</f>
        <v>194.48</v>
      </c>
      <c r="O10" s="12">
        <f>ROUND(IF($M$10&lt;=0,0,MIN(VisaMinPayment,$M$10+$N$10)),2)</f>
        <v>270.0</v>
      </c>
      <c r="P10" s="12">
        <f>ROUND(IF($M$10&lt;=0,0,MIN(MAX(0,$M$10+$N$10-$O$10),MAX(0,$AG$10-$F$10-$K$10))),2)</f>
        <v>0.0</v>
      </c>
      <c r="Q10" s="12">
        <f>ROUND(MAX(0,$M$10+$N$10-$O$10-$P$10),2)</f>
        <v>8571.07</v>
      </c>
      <c r="R10" s="12">
        <f>$V$9</f>
        <v>4499.93</v>
      </c>
      <c r="S10" s="12">
        <f>ROUND(IF($R$10&lt;=0,0,$R$10*PersonalAPR/12),2)</f>
        <v>50.59</v>
      </c>
      <c r="T10" s="12">
        <f>ROUND(IF($R$10&lt;=0,0,MIN(PersonalMinPayment,$R$10+$S$10)),2)</f>
        <v>154.0</v>
      </c>
      <c r="U10" s="12">
        <f>ROUND(IF($R$10&lt;=0,0,MIN(MAX(0,$R$10+$S$10-$T$10),MAX(0,$AG$10-$F$10-$K$10-$P$10))),2)</f>
        <v>0.0</v>
      </c>
      <c r="V10" s="12">
        <f>ROUND(MAX(0,$R$10+$S$10-$T$10-$U$10),2)</f>
        <v>4396.52</v>
      </c>
      <c r="W10" s="12">
        <f>$AA$9</f>
        <v>2135.54</v>
      </c>
      <c r="X10" s="12">
        <f>ROUND(IF($W$10&lt;=0,0,$W$10*FurnitureAPR/12),2)</f>
        <v>17.78</v>
      </c>
      <c r="Y10" s="12">
        <f>ROUND(IF($W$10&lt;=0,0,MIN(FurnitureMinPayment,$W$10+$X$10)),2)</f>
        <v>72.0</v>
      </c>
      <c r="Z10" s="12">
        <f>ROUND(IF($W$10&lt;=0,0,MIN(MAX(0,$W$10+$X$10-$Y$10),MAX(0,$AG$10-$F$10-$K$10-$P$10-$U$10))),2)</f>
        <v>0.0</v>
      </c>
      <c r="AA10" s="12">
        <f>ROUND(MAX(0,$W$10+$X$10-$Y$10-$Z$10),2)</f>
        <v>2081.32</v>
      </c>
      <c r="AB10" s="12">
        <f>$AF$9</f>
        <v>6005.34</v>
      </c>
      <c r="AC10" s="12">
        <f>ROUND(IF($AB$10&lt;=0,0,$AB$10*AutoAPR/12),2)</f>
        <v>32.48</v>
      </c>
      <c r="AD10" s="12">
        <f>ROUND(IF($AB$10&lt;=0,0,MIN(AutoMinPayment,$AB$10+$AC$10)),2)</f>
        <v>194.0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5843.82</v>
      </c>
      <c r="AG10" s="12">
        <f>ROUND(ExtraPayment+IF($G$9&lt;=0,MedicalMinPayment,0)+IF($L$9&lt;=0,StoreMinPayment,0)+IF($Q$9&lt;=0,VisaMinPayment,0)+IF($V$9&lt;=0,PersonalMinPayment,0)+IF($AA$9&lt;=0,FurnitureMinPayment,0)+IF($AF$9&lt;=0,AutoMinPayment,0),2)</f>
        <v>214.0</v>
      </c>
      <c r="AH10" s="12">
        <f>ROUND(SUM($D$10,$I$10,$N$10,$S$10,$X$10,$AC$10),2)</f>
        <v>361.27</v>
      </c>
      <c r="AI10" s="12">
        <f>ROUND(SUM($G$10,$L$10,$Q$10,$V$10,$AA$10,$AF$10),2)</f>
        <v>23286.95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ROUND(IF($C$11&lt;=0,0,$C$11*MedicalAPR/12),2)</f>
        <v>0.0</v>
      </c>
      <c r="E11" s="12">
        <f>ROUND(IF($C$11&lt;=0,0,MIN(MedicalMinPayment,$C$11+$D$11)),2)</f>
        <v>0.0</v>
      </c>
      <c r="F11" s="12">
        <f>ROUND(IF($C$11&lt;=0,0,MIN(MAX(0,$C$11+$D$11-$E$11),$AG$11)),2)</f>
        <v>0.0</v>
      </c>
      <c r="G11" s="12">
        <f>ROUND(MAX(0,$C$11+$D$11-$E$11-$F$11),2)</f>
        <v>0.0</v>
      </c>
      <c r="H11" s="12">
        <f>$L$10</f>
        <v>2394.22</v>
      </c>
      <c r="I11" s="12">
        <f>ROUND(IF($H$11&lt;=0,0,$H$11*StoreAPR/12),2)</f>
        <v>59.84</v>
      </c>
      <c r="J11" s="12">
        <f>ROUND(IF($H$11&lt;=0,0,MIN(StoreMinPayment,$H$11+$I$11)),2)</f>
        <v>96.0</v>
      </c>
      <c r="K11" s="12">
        <f>ROUND(IF($H$11&lt;=0,0,MIN(MAX(0,$H$11+$I$11-$J$11),MAX(0,$AG$11-$F$11))),2)</f>
        <v>214.0</v>
      </c>
      <c r="L11" s="12">
        <f>ROUND(MAX(0,$H$11+$I$11-$J$11-$K$11),2)</f>
        <v>2144.06</v>
      </c>
      <c r="M11" s="12">
        <f>$Q$10</f>
        <v>8571.07</v>
      </c>
      <c r="N11" s="12">
        <f>ROUND(IF($M$11&lt;=0,0,$M$11*VisaAPR/12),2)</f>
        <v>192.78</v>
      </c>
      <c r="O11" s="12">
        <f>ROUND(IF($M$11&lt;=0,0,MIN(VisaMinPayment,$M$11+$N$11)),2)</f>
        <v>270.0</v>
      </c>
      <c r="P11" s="12">
        <f>ROUND(IF($M$11&lt;=0,0,MIN(MAX(0,$M$11+$N$11-$O$11),MAX(0,$AG$11-$F$11-$K$11))),2)</f>
        <v>0.0</v>
      </c>
      <c r="Q11" s="12">
        <f>ROUND(MAX(0,$M$11+$N$11-$O$11-$P$11),2)</f>
        <v>8493.85</v>
      </c>
      <c r="R11" s="12">
        <f>$V$10</f>
        <v>4396.52</v>
      </c>
      <c r="S11" s="12">
        <f>ROUND(IF($R$11&lt;=0,0,$R$11*PersonalAPR/12),2)</f>
        <v>49.42</v>
      </c>
      <c r="T11" s="12">
        <f>ROUND(IF($R$11&lt;=0,0,MIN(PersonalMinPayment,$R$11+$S$11)),2)</f>
        <v>154.0</v>
      </c>
      <c r="U11" s="12">
        <f>ROUND(IF($R$11&lt;=0,0,MIN(MAX(0,$R$11+$S$11-$T$11),MAX(0,$AG$11-$F$11-$K$11-$P$11))),2)</f>
        <v>0.0</v>
      </c>
      <c r="V11" s="12">
        <f>ROUND(MAX(0,$R$11+$S$11-$T$11-$U$11),2)</f>
        <v>4291.94</v>
      </c>
      <c r="W11" s="12">
        <f>$AA$10</f>
        <v>2081.32</v>
      </c>
      <c r="X11" s="12">
        <f>ROUND(IF($W$11&lt;=0,0,$W$11*FurnitureAPR/12),2)</f>
        <v>17.33</v>
      </c>
      <c r="Y11" s="12">
        <f>ROUND(IF($W$11&lt;=0,0,MIN(FurnitureMinPayment,$W$11+$X$11)),2)</f>
        <v>72.0</v>
      </c>
      <c r="Z11" s="12">
        <f>ROUND(IF($W$11&lt;=0,0,MIN(MAX(0,$W$11+$X$11-$Y$11),MAX(0,$AG$11-$F$11-$K$11-$P$11-$U$11))),2)</f>
        <v>0.0</v>
      </c>
      <c r="AA11" s="12">
        <f>ROUND(MAX(0,$W$11+$X$11-$Y$11-$Z$11),2)</f>
        <v>2026.65</v>
      </c>
      <c r="AB11" s="12">
        <f>$AF$10</f>
        <v>5843.82</v>
      </c>
      <c r="AC11" s="12">
        <f>ROUND(IF($AB$11&lt;=0,0,$AB$11*AutoAPR/12),2)</f>
        <v>31.61</v>
      </c>
      <c r="AD11" s="12">
        <f>ROUND(IF($AB$11&lt;=0,0,MIN(AutoMinPayment,$AB$11+$AC$11)),2)</f>
        <v>194.0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5681.43</v>
      </c>
      <c r="AG11" s="12">
        <f>ROUND(ExtraPayment+IF($G$10&lt;=0,MedicalMinPayment,0)+IF($L$10&lt;=0,StoreMinPayment,0)+IF($Q$10&lt;=0,VisaMinPayment,0)+IF($V$10&lt;=0,PersonalMinPayment,0)+IF($AA$10&lt;=0,FurnitureMinPayment,0)+IF($AF$10&lt;=0,AutoMinPayment,0),2)</f>
        <v>214.0</v>
      </c>
      <c r="AH11" s="12">
        <f>ROUND(SUM($D$11,$I$11,$N$11,$S$11,$X$11,$AC$11),2)</f>
        <v>350.98</v>
      </c>
      <c r="AI11" s="12">
        <f>ROUND(SUM($G$11,$L$11,$Q$11,$V$11,$AA$11,$AF$11),2)</f>
        <v>22637.93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ROUND(IF($C$12&lt;=0,0,$C$12*MedicalAPR/12),2)</f>
        <v>0.0</v>
      </c>
      <c r="E12" s="12">
        <f>ROUND(IF($C$12&lt;=0,0,MIN(MedicalMinPayment,$C$12+$D$12)),2)</f>
        <v>0.0</v>
      </c>
      <c r="F12" s="12">
        <f>ROUND(IF($C$12&lt;=0,0,MIN(MAX(0,$C$12+$D$12-$E$12),$AG$12)),2)</f>
        <v>0.0</v>
      </c>
      <c r="G12" s="12">
        <f>ROUND(MAX(0,$C$12+$D$12-$E$12-$F$12),2)</f>
        <v>0.0</v>
      </c>
      <c r="H12" s="12">
        <f>$L$11</f>
        <v>2144.06</v>
      </c>
      <c r="I12" s="12">
        <f>ROUND(IF($H$12&lt;=0,0,$H$12*StoreAPR/12),2)</f>
        <v>53.58</v>
      </c>
      <c r="J12" s="12">
        <f>ROUND(IF($H$12&lt;=0,0,MIN(StoreMinPayment,$H$12+$I$12)),2)</f>
        <v>96.0</v>
      </c>
      <c r="K12" s="12">
        <f>ROUND(IF($H$12&lt;=0,0,MIN(MAX(0,$H$12+$I$12-$J$12),MAX(0,$AG$12-$F$12))),2)</f>
        <v>214.0</v>
      </c>
      <c r="L12" s="12">
        <f>ROUND(MAX(0,$H$12+$I$12-$J$12-$K$12),2)</f>
        <v>1887.64</v>
      </c>
      <c r="M12" s="12">
        <f>$Q$11</f>
        <v>8493.85</v>
      </c>
      <c r="N12" s="12">
        <f>ROUND(IF($M$12&lt;=0,0,$M$12*VisaAPR/12),2)</f>
        <v>191.04</v>
      </c>
      <c r="O12" s="12">
        <f>ROUND(IF($M$12&lt;=0,0,MIN(VisaMinPayment,$M$12+$N$12)),2)</f>
        <v>270.0</v>
      </c>
      <c r="P12" s="12">
        <f>ROUND(IF($M$12&lt;=0,0,MIN(MAX(0,$M$12+$N$12-$O$12),MAX(0,$AG$12-$F$12-$K$12))),2)</f>
        <v>0.0</v>
      </c>
      <c r="Q12" s="12">
        <f>ROUND(MAX(0,$M$12+$N$12-$O$12-$P$12),2)</f>
        <v>8414.89</v>
      </c>
      <c r="R12" s="12">
        <f>$V$11</f>
        <v>4291.94</v>
      </c>
      <c r="S12" s="12">
        <f>ROUND(IF($R$12&lt;=0,0,$R$12*PersonalAPR/12),2)</f>
        <v>48.25</v>
      </c>
      <c r="T12" s="12">
        <f>ROUND(IF($R$12&lt;=0,0,MIN(PersonalMinPayment,$R$12+$S$12)),2)</f>
        <v>154.0</v>
      </c>
      <c r="U12" s="12">
        <f>ROUND(IF($R$12&lt;=0,0,MIN(MAX(0,$R$12+$S$12-$T$12),MAX(0,$AG$12-$F$12-$K$12-$P$12))),2)</f>
        <v>0.0</v>
      </c>
      <c r="V12" s="12">
        <f>ROUND(MAX(0,$R$12+$S$12-$T$12-$U$12),2)</f>
        <v>4186.19</v>
      </c>
      <c r="W12" s="12">
        <f>$AA$11</f>
        <v>2026.65</v>
      </c>
      <c r="X12" s="12">
        <f>ROUND(IF($W$12&lt;=0,0,$W$12*FurnitureAPR/12),2)</f>
        <v>16.87</v>
      </c>
      <c r="Y12" s="12">
        <f>ROUND(IF($W$12&lt;=0,0,MIN(FurnitureMinPayment,$W$12+$X$12)),2)</f>
        <v>72.0</v>
      </c>
      <c r="Z12" s="12">
        <f>ROUND(IF($W$12&lt;=0,0,MIN(MAX(0,$W$12+$X$12-$Y$12),MAX(0,$AG$12-$F$12-$K$12-$P$12-$U$12))),2)</f>
        <v>0.0</v>
      </c>
      <c r="AA12" s="12">
        <f>ROUND(MAX(0,$W$12+$X$12-$Y$12-$Z$12),2)</f>
        <v>1971.52</v>
      </c>
      <c r="AB12" s="12">
        <f>$AF$11</f>
        <v>5681.43</v>
      </c>
      <c r="AC12" s="12">
        <f>ROUND(IF($AB$12&lt;=0,0,$AB$12*AutoAPR/12),2)</f>
        <v>30.73</v>
      </c>
      <c r="AD12" s="12">
        <f>ROUND(IF($AB$12&lt;=0,0,MIN(AutoMinPayment,$AB$12+$AC$12)),2)</f>
        <v>194.0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5518.16</v>
      </c>
      <c r="AG12" s="12">
        <f>ROUND(ExtraPayment+IF($G$11&lt;=0,MedicalMinPayment,0)+IF($L$11&lt;=0,StoreMinPayment,0)+IF($Q$11&lt;=0,VisaMinPayment,0)+IF($V$11&lt;=0,PersonalMinPayment,0)+IF($AA$11&lt;=0,FurnitureMinPayment,0)+IF($AF$11&lt;=0,AutoMinPayment,0),2)</f>
        <v>214.0</v>
      </c>
      <c r="AH12" s="12">
        <f>ROUND(SUM($D$12,$I$12,$N$12,$S$12,$X$12,$AC$12),2)</f>
        <v>340.47</v>
      </c>
      <c r="AI12" s="12">
        <f>ROUND(SUM($G$12,$L$12,$Q$12,$V$12,$AA$12,$AF$12),2)</f>
        <v>21978.4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ROUND(IF($C$13&lt;=0,0,$C$13*MedicalAPR/12),2)</f>
        <v>0.0</v>
      </c>
      <c r="E13" s="12">
        <f>ROUND(IF($C$13&lt;=0,0,MIN(MedicalMinPayment,$C$13+$D$13)),2)</f>
        <v>0.0</v>
      </c>
      <c r="F13" s="12">
        <f>ROUND(IF($C$13&lt;=0,0,MIN(MAX(0,$C$13+$D$13-$E$13),$AG$13)),2)</f>
        <v>0.0</v>
      </c>
      <c r="G13" s="12">
        <f>ROUND(MAX(0,$C$13+$D$13-$E$13-$F$13),2)</f>
        <v>0.0</v>
      </c>
      <c r="H13" s="12">
        <f>$L$12</f>
        <v>1887.64</v>
      </c>
      <c r="I13" s="12">
        <f>ROUND(IF($H$13&lt;=0,0,$H$13*StoreAPR/12),2)</f>
        <v>47.18</v>
      </c>
      <c r="J13" s="12">
        <f>ROUND(IF($H$13&lt;=0,0,MIN(StoreMinPayment,$H$13+$I$13)),2)</f>
        <v>96.0</v>
      </c>
      <c r="K13" s="12">
        <f>ROUND(IF($H$13&lt;=0,0,MIN(MAX(0,$H$13+$I$13-$J$13),MAX(0,$AG$13-$F$13))),2)</f>
        <v>214.0</v>
      </c>
      <c r="L13" s="12">
        <f>ROUND(MAX(0,$H$13+$I$13-$J$13-$K$13),2)</f>
        <v>1624.82</v>
      </c>
      <c r="M13" s="12">
        <f>$Q$12</f>
        <v>8414.89</v>
      </c>
      <c r="N13" s="12">
        <f>ROUND(IF($M$13&lt;=0,0,$M$13*VisaAPR/12),2)</f>
        <v>189.26</v>
      </c>
      <c r="O13" s="12">
        <f>ROUND(IF($M$13&lt;=0,0,MIN(VisaMinPayment,$M$13+$N$13)),2)</f>
        <v>270.0</v>
      </c>
      <c r="P13" s="12">
        <f>ROUND(IF($M$13&lt;=0,0,MIN(MAX(0,$M$13+$N$13-$O$13),MAX(0,$AG$13-$F$13-$K$13))),2)</f>
        <v>0.0</v>
      </c>
      <c r="Q13" s="12">
        <f>ROUND(MAX(0,$M$13+$N$13-$O$13-$P$13),2)</f>
        <v>8334.15</v>
      </c>
      <c r="R13" s="12">
        <f>$V$12</f>
        <v>4186.19</v>
      </c>
      <c r="S13" s="12">
        <f>ROUND(IF($R$13&lt;=0,0,$R$13*PersonalAPR/12),2)</f>
        <v>47.06</v>
      </c>
      <c r="T13" s="12">
        <f>ROUND(IF($R$13&lt;=0,0,MIN(PersonalMinPayment,$R$13+$S$13)),2)</f>
        <v>154.0</v>
      </c>
      <c r="U13" s="12">
        <f>ROUND(IF($R$13&lt;=0,0,MIN(MAX(0,$R$13+$S$13-$T$13),MAX(0,$AG$13-$F$13-$K$13-$P$13))),2)</f>
        <v>0.0</v>
      </c>
      <c r="V13" s="12">
        <f>ROUND(MAX(0,$R$13+$S$13-$T$13-$U$13),2)</f>
        <v>4079.25</v>
      </c>
      <c r="W13" s="12">
        <f>$AA$12</f>
        <v>1971.52</v>
      </c>
      <c r="X13" s="12">
        <f>ROUND(IF($W$13&lt;=0,0,$W$13*FurnitureAPR/12),2)</f>
        <v>16.41</v>
      </c>
      <c r="Y13" s="12">
        <f>ROUND(IF($W$13&lt;=0,0,MIN(FurnitureMinPayment,$W$13+$X$13)),2)</f>
        <v>72.0</v>
      </c>
      <c r="Z13" s="12">
        <f>ROUND(IF($W$13&lt;=0,0,MIN(MAX(0,$W$13+$X$13-$Y$13),MAX(0,$AG$13-$F$13-$K$13-$P$13-$U$13))),2)</f>
        <v>0.0</v>
      </c>
      <c r="AA13" s="12">
        <f>ROUND(MAX(0,$W$13+$X$13-$Y$13-$Z$13),2)</f>
        <v>1915.93</v>
      </c>
      <c r="AB13" s="12">
        <f>$AF$12</f>
        <v>5518.16</v>
      </c>
      <c r="AC13" s="12">
        <f>ROUND(IF($AB$13&lt;=0,0,$AB$13*AutoAPR/12),2)</f>
        <v>29.84</v>
      </c>
      <c r="AD13" s="12">
        <f>ROUND(IF($AB$13&lt;=0,0,MIN(AutoMinPayment,$AB$13+$AC$13)),2)</f>
        <v>194.0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5354.0</v>
      </c>
      <c r="AG13" s="12">
        <f>ROUND(ExtraPayment+IF($G$12&lt;=0,MedicalMinPayment,0)+IF($L$12&lt;=0,StoreMinPayment,0)+IF($Q$12&lt;=0,VisaMinPayment,0)+IF($V$12&lt;=0,PersonalMinPayment,0)+IF($AA$12&lt;=0,FurnitureMinPayment,0)+IF($AF$12&lt;=0,AutoMinPayment,0),2)</f>
        <v>214.0</v>
      </c>
      <c r="AH13" s="12">
        <f>ROUND(SUM($D$13,$I$13,$N$13,$S$13,$X$13,$AC$13),2)</f>
        <v>329.75</v>
      </c>
      <c r="AI13" s="12">
        <f>ROUND(SUM($G$13,$L$13,$Q$13,$V$13,$AA$13,$AF$13),2)</f>
        <v>21308.15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ROUND(IF($C$14&lt;=0,0,$C$14*MedicalAPR/12),2)</f>
        <v>0.0</v>
      </c>
      <c r="E14" s="12">
        <f>ROUND(IF($C$14&lt;=0,0,MIN(MedicalMinPayment,$C$14+$D$14)),2)</f>
        <v>0.0</v>
      </c>
      <c r="F14" s="12">
        <f>ROUND(IF($C$14&lt;=0,0,MIN(MAX(0,$C$14+$D$14-$E$14),$AG$14)),2)</f>
        <v>0.0</v>
      </c>
      <c r="G14" s="12">
        <f>ROUND(MAX(0,$C$14+$D$14-$E$14-$F$14),2)</f>
        <v>0.0</v>
      </c>
      <c r="H14" s="12">
        <f>$L$13</f>
        <v>1624.82</v>
      </c>
      <c r="I14" s="12">
        <f>ROUND(IF($H$14&lt;=0,0,$H$14*StoreAPR/12),2)</f>
        <v>40.61</v>
      </c>
      <c r="J14" s="12">
        <f>ROUND(IF($H$14&lt;=0,0,MIN(StoreMinPayment,$H$14+$I$14)),2)</f>
        <v>96.0</v>
      </c>
      <c r="K14" s="12">
        <f>ROUND(IF($H$14&lt;=0,0,MIN(MAX(0,$H$14+$I$14-$J$14),MAX(0,$AG$14-$F$14))),2)</f>
        <v>214.0</v>
      </c>
      <c r="L14" s="12">
        <f>ROUND(MAX(0,$H$14+$I$14-$J$14-$K$14),2)</f>
        <v>1355.43</v>
      </c>
      <c r="M14" s="12">
        <f>$Q$13</f>
        <v>8334.15</v>
      </c>
      <c r="N14" s="12">
        <f>ROUND(IF($M$14&lt;=0,0,$M$14*VisaAPR/12),2)</f>
        <v>187.45</v>
      </c>
      <c r="O14" s="12">
        <f>ROUND(IF($M$14&lt;=0,0,MIN(VisaMinPayment,$M$14+$N$14)),2)</f>
        <v>270.0</v>
      </c>
      <c r="P14" s="12">
        <f>ROUND(IF($M$14&lt;=0,0,MIN(MAX(0,$M$14+$N$14-$O$14),MAX(0,$AG$14-$F$14-$K$14))),2)</f>
        <v>0.0</v>
      </c>
      <c r="Q14" s="12">
        <f>ROUND(MAX(0,$M$14+$N$14-$O$14-$P$14),2)</f>
        <v>8251.6</v>
      </c>
      <c r="R14" s="12">
        <f>$V$13</f>
        <v>4079.25</v>
      </c>
      <c r="S14" s="12">
        <f>ROUND(IF($R$14&lt;=0,0,$R$14*PersonalAPR/12),2)</f>
        <v>45.86</v>
      </c>
      <c r="T14" s="12">
        <f>ROUND(IF($R$14&lt;=0,0,MIN(PersonalMinPayment,$R$14+$S$14)),2)</f>
        <v>154.0</v>
      </c>
      <c r="U14" s="12">
        <f>ROUND(IF($R$14&lt;=0,0,MIN(MAX(0,$R$14+$S$14-$T$14),MAX(0,$AG$14-$F$14-$K$14-$P$14))),2)</f>
        <v>0.0</v>
      </c>
      <c r="V14" s="12">
        <f>ROUND(MAX(0,$R$14+$S$14-$T$14-$U$14),2)</f>
        <v>3971.11</v>
      </c>
      <c r="W14" s="12">
        <f>$AA$13</f>
        <v>1915.93</v>
      </c>
      <c r="X14" s="12">
        <f>ROUND(IF($W$14&lt;=0,0,$W$14*FurnitureAPR/12),2)</f>
        <v>15.95</v>
      </c>
      <c r="Y14" s="12">
        <f>ROUND(IF($W$14&lt;=0,0,MIN(FurnitureMinPayment,$W$14+$X$14)),2)</f>
        <v>72.0</v>
      </c>
      <c r="Z14" s="12">
        <f>ROUND(IF($W$14&lt;=0,0,MIN(MAX(0,$W$14+$X$14-$Y$14),MAX(0,$AG$14-$F$14-$K$14-$P$14-$U$14))),2)</f>
        <v>0.0</v>
      </c>
      <c r="AA14" s="12">
        <f>ROUND(MAX(0,$W$14+$X$14-$Y$14-$Z$14),2)</f>
        <v>1859.88</v>
      </c>
      <c r="AB14" s="12">
        <f>$AF$13</f>
        <v>5354.0</v>
      </c>
      <c r="AC14" s="12">
        <f>ROUND(IF($AB$14&lt;=0,0,$AB$14*AutoAPR/12),2)</f>
        <v>28.96</v>
      </c>
      <c r="AD14" s="12">
        <f>ROUND(IF($AB$14&lt;=0,0,MIN(AutoMinPayment,$AB$14+$AC$14)),2)</f>
        <v>194.0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5188.96</v>
      </c>
      <c r="AG14" s="12">
        <f>ROUND(ExtraPayment+IF($G$13&lt;=0,MedicalMinPayment,0)+IF($L$13&lt;=0,StoreMinPayment,0)+IF($Q$13&lt;=0,VisaMinPayment,0)+IF($V$13&lt;=0,PersonalMinPayment,0)+IF($AA$13&lt;=0,FurnitureMinPayment,0)+IF($AF$13&lt;=0,AutoMinPayment,0),2)</f>
        <v>214.0</v>
      </c>
      <c r="AH14" s="12">
        <f>ROUND(SUM($D$14,$I$14,$N$14,$S$14,$X$14,$AC$14),2)</f>
        <v>318.83</v>
      </c>
      <c r="AI14" s="12">
        <f>ROUND(SUM($G$14,$L$14,$Q$14,$V$14,$AA$14,$AF$14),2)</f>
        <v>20626.98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ROUND(IF($C$15&lt;=0,0,$C$15*MedicalAPR/12),2)</f>
        <v>0.0</v>
      </c>
      <c r="E15" s="12">
        <f>ROUND(IF($C$15&lt;=0,0,MIN(MedicalMinPayment,$C$15+$D$15)),2)</f>
        <v>0.0</v>
      </c>
      <c r="F15" s="12">
        <f>ROUND(IF($C$15&lt;=0,0,MIN(MAX(0,$C$15+$D$15-$E$15),$AG$15)),2)</f>
        <v>0.0</v>
      </c>
      <c r="G15" s="12">
        <f>ROUND(MAX(0,$C$15+$D$15-$E$15-$F$15),2)</f>
        <v>0.0</v>
      </c>
      <c r="H15" s="12">
        <f>$L$14</f>
        <v>1355.43</v>
      </c>
      <c r="I15" s="12">
        <f>ROUND(IF($H$15&lt;=0,0,$H$15*StoreAPR/12),2)</f>
        <v>33.87</v>
      </c>
      <c r="J15" s="12">
        <f>ROUND(IF($H$15&lt;=0,0,MIN(StoreMinPayment,$H$15+$I$15)),2)</f>
        <v>96.0</v>
      </c>
      <c r="K15" s="12">
        <f>ROUND(IF($H$15&lt;=0,0,MIN(MAX(0,$H$15+$I$15-$J$15),MAX(0,$AG$15-$F$15))),2)</f>
        <v>214.0</v>
      </c>
      <c r="L15" s="12">
        <f>ROUND(MAX(0,$H$15+$I$15-$J$15-$K$15),2)</f>
        <v>1079.3</v>
      </c>
      <c r="M15" s="12">
        <f>$Q$14</f>
        <v>8251.6</v>
      </c>
      <c r="N15" s="12">
        <f>ROUND(IF($M$15&lt;=0,0,$M$15*VisaAPR/12),2)</f>
        <v>185.59</v>
      </c>
      <c r="O15" s="12">
        <f>ROUND(IF($M$15&lt;=0,0,MIN(VisaMinPayment,$M$15+$N$15)),2)</f>
        <v>270.0</v>
      </c>
      <c r="P15" s="12">
        <f>ROUND(IF($M$15&lt;=0,0,MIN(MAX(0,$M$15+$N$15-$O$15),MAX(0,$AG$15-$F$15-$K$15))),2)</f>
        <v>0.0</v>
      </c>
      <c r="Q15" s="12">
        <f>ROUND(MAX(0,$M$15+$N$15-$O$15-$P$15),2)</f>
        <v>8167.19</v>
      </c>
      <c r="R15" s="12">
        <f>$V$14</f>
        <v>3971.11</v>
      </c>
      <c r="S15" s="12">
        <f>ROUND(IF($R$15&lt;=0,0,$R$15*PersonalAPR/12),2)</f>
        <v>44.64</v>
      </c>
      <c r="T15" s="12">
        <f>ROUND(IF($R$15&lt;=0,0,MIN(PersonalMinPayment,$R$15+$S$15)),2)</f>
        <v>154.0</v>
      </c>
      <c r="U15" s="12">
        <f>ROUND(IF($R$15&lt;=0,0,MIN(MAX(0,$R$15+$S$15-$T$15),MAX(0,$AG$15-$F$15-$K$15-$P$15))),2)</f>
        <v>0.0</v>
      </c>
      <c r="V15" s="12">
        <f>ROUND(MAX(0,$R$15+$S$15-$T$15-$U$15),2)</f>
        <v>3861.75</v>
      </c>
      <c r="W15" s="12">
        <f>$AA$14</f>
        <v>1859.88</v>
      </c>
      <c r="X15" s="12">
        <f>ROUND(IF($W$15&lt;=0,0,$W$15*FurnitureAPR/12),2)</f>
        <v>15.48</v>
      </c>
      <c r="Y15" s="12">
        <f>ROUND(IF($W$15&lt;=0,0,MIN(FurnitureMinPayment,$W$15+$X$15)),2)</f>
        <v>72.0</v>
      </c>
      <c r="Z15" s="12">
        <f>ROUND(IF($W$15&lt;=0,0,MIN(MAX(0,$W$15+$X$15-$Y$15),MAX(0,$AG$15-$F$15-$K$15-$P$15-$U$15))),2)</f>
        <v>0.0</v>
      </c>
      <c r="AA15" s="12">
        <f>ROUND(MAX(0,$W$15+$X$15-$Y$15-$Z$15),2)</f>
        <v>1803.36</v>
      </c>
      <c r="AB15" s="12">
        <f>$AF$14</f>
        <v>5188.96</v>
      </c>
      <c r="AC15" s="12">
        <f>ROUND(IF($AB$15&lt;=0,0,$AB$15*AutoAPR/12),2)</f>
        <v>28.06</v>
      </c>
      <c r="AD15" s="12">
        <f>ROUND(IF($AB$15&lt;=0,0,MIN(AutoMinPayment,$AB$15+$AC$15)),2)</f>
        <v>194.0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5023.02</v>
      </c>
      <c r="AG15" s="12">
        <f>ROUND(ExtraPayment+IF($G$14&lt;=0,MedicalMinPayment,0)+IF($L$14&lt;=0,StoreMinPayment,0)+IF($Q$14&lt;=0,VisaMinPayment,0)+IF($V$14&lt;=0,PersonalMinPayment,0)+IF($AA$14&lt;=0,FurnitureMinPayment,0)+IF($AF$14&lt;=0,AutoMinPayment,0),2)</f>
        <v>214.0</v>
      </c>
      <c r="AH15" s="12">
        <f>ROUND(SUM($D$15,$I$15,$N$15,$S$15,$X$15,$AC$15),2)</f>
        <v>307.64</v>
      </c>
      <c r="AI15" s="12">
        <f>ROUND(SUM($G$15,$L$15,$Q$15,$V$15,$AA$15,$AF$15),2)</f>
        <v>19934.62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ROUND(IF($C$16&lt;=0,0,$C$16*MedicalAPR/12),2)</f>
        <v>0.0</v>
      </c>
      <c r="E16" s="12">
        <f>ROUND(IF($C$16&lt;=0,0,MIN(MedicalMinPayment,$C$16+$D$16)),2)</f>
        <v>0.0</v>
      </c>
      <c r="F16" s="12">
        <f>ROUND(IF($C$16&lt;=0,0,MIN(MAX(0,$C$16+$D$16-$E$16),$AG$16)),2)</f>
        <v>0.0</v>
      </c>
      <c r="G16" s="12">
        <f>ROUND(MAX(0,$C$16+$D$16-$E$16-$F$16),2)</f>
        <v>0.0</v>
      </c>
      <c r="H16" s="12">
        <f>$L$15</f>
        <v>1079.3</v>
      </c>
      <c r="I16" s="12">
        <f>ROUND(IF($H$16&lt;=0,0,$H$16*StoreAPR/12),2)</f>
        <v>26.97</v>
      </c>
      <c r="J16" s="12">
        <f>ROUND(IF($H$16&lt;=0,0,MIN(StoreMinPayment,$H$16+$I$16)),2)</f>
        <v>96.0</v>
      </c>
      <c r="K16" s="12">
        <f>ROUND(IF($H$16&lt;=0,0,MIN(MAX(0,$H$16+$I$16-$J$16),MAX(0,$AG$16-$F$16))),2)</f>
        <v>214.0</v>
      </c>
      <c r="L16" s="12">
        <f>ROUND(MAX(0,$H$16+$I$16-$J$16-$K$16),2)</f>
        <v>796.27</v>
      </c>
      <c r="M16" s="12">
        <f>$Q$15</f>
        <v>8167.19</v>
      </c>
      <c r="N16" s="12">
        <f>ROUND(IF($M$16&lt;=0,0,$M$16*VisaAPR/12),2)</f>
        <v>183.69</v>
      </c>
      <c r="O16" s="12">
        <f>ROUND(IF($M$16&lt;=0,0,MIN(VisaMinPayment,$M$16+$N$16)),2)</f>
        <v>270.0</v>
      </c>
      <c r="P16" s="12">
        <f>ROUND(IF($M$16&lt;=0,0,MIN(MAX(0,$M$16+$N$16-$O$16),MAX(0,$AG$16-$F$16-$K$16))),2)</f>
        <v>0.0</v>
      </c>
      <c r="Q16" s="12">
        <f>ROUND(MAX(0,$M$16+$N$16-$O$16-$P$16),2)</f>
        <v>8080.88</v>
      </c>
      <c r="R16" s="12">
        <f>$V$15</f>
        <v>3861.75</v>
      </c>
      <c r="S16" s="12">
        <f>ROUND(IF($R$16&lt;=0,0,$R$16*PersonalAPR/12),2)</f>
        <v>43.41</v>
      </c>
      <c r="T16" s="12">
        <f>ROUND(IF($R$16&lt;=0,0,MIN(PersonalMinPayment,$R$16+$S$16)),2)</f>
        <v>154.0</v>
      </c>
      <c r="U16" s="12">
        <f>ROUND(IF($R$16&lt;=0,0,MIN(MAX(0,$R$16+$S$16-$T$16),MAX(0,$AG$16-$F$16-$K$16-$P$16))),2)</f>
        <v>0.0</v>
      </c>
      <c r="V16" s="12">
        <f>ROUND(MAX(0,$R$16+$S$16-$T$16-$U$16),2)</f>
        <v>3751.16</v>
      </c>
      <c r="W16" s="12">
        <f>$AA$15</f>
        <v>1803.36</v>
      </c>
      <c r="X16" s="12">
        <f>ROUND(IF($W$16&lt;=0,0,$W$16*FurnitureAPR/12),2)</f>
        <v>15.01</v>
      </c>
      <c r="Y16" s="12">
        <f>ROUND(IF($W$16&lt;=0,0,MIN(FurnitureMinPayment,$W$16+$X$16)),2)</f>
        <v>72.0</v>
      </c>
      <c r="Z16" s="12">
        <f>ROUND(IF($W$16&lt;=0,0,MIN(MAX(0,$W$16+$X$16-$Y$16),MAX(0,$AG$16-$F$16-$K$16-$P$16-$U$16))),2)</f>
        <v>0.0</v>
      </c>
      <c r="AA16" s="12">
        <f>ROUND(MAX(0,$W$16+$X$16-$Y$16-$Z$16),2)</f>
        <v>1746.37</v>
      </c>
      <c r="AB16" s="12">
        <f>$AF$15</f>
        <v>5023.02</v>
      </c>
      <c r="AC16" s="12">
        <f>ROUND(IF($AB$16&lt;=0,0,$AB$16*AutoAPR/12),2)</f>
        <v>27.17</v>
      </c>
      <c r="AD16" s="12">
        <f>ROUND(IF($AB$16&lt;=0,0,MIN(AutoMinPayment,$AB$16+$AC$16)),2)</f>
        <v>194.0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4856.19</v>
      </c>
      <c r="AG16" s="12">
        <f>ROUND(ExtraPayment+IF($G$15&lt;=0,MedicalMinPayment,0)+IF($L$15&lt;=0,StoreMinPayment,0)+IF($Q$15&lt;=0,VisaMinPayment,0)+IF($V$15&lt;=0,PersonalMinPayment,0)+IF($AA$15&lt;=0,FurnitureMinPayment,0)+IF($AF$15&lt;=0,AutoMinPayment,0),2)</f>
        <v>214.0</v>
      </c>
      <c r="AH16" s="12">
        <f>ROUND(SUM($D$16,$I$16,$N$16,$S$16,$X$16,$AC$16),2)</f>
        <v>296.25</v>
      </c>
      <c r="AI16" s="12">
        <f>ROUND(SUM($G$16,$L$16,$Q$16,$V$16,$AA$16,$AF$16),2)</f>
        <v>19230.87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ROUND(IF($C$17&lt;=0,0,$C$17*MedicalAPR/12),2)</f>
        <v>0.0</v>
      </c>
      <c r="E17" s="12">
        <f>ROUND(IF($C$17&lt;=0,0,MIN(MedicalMinPayment,$C$17+$D$17)),2)</f>
        <v>0.0</v>
      </c>
      <c r="F17" s="12">
        <f>ROUND(IF($C$17&lt;=0,0,MIN(MAX(0,$C$17+$D$17-$E$17),$AG$17)),2)</f>
        <v>0.0</v>
      </c>
      <c r="G17" s="12">
        <f>ROUND(MAX(0,$C$17+$D$17-$E$17-$F$17),2)</f>
        <v>0.0</v>
      </c>
      <c r="H17" s="12">
        <f>$L$16</f>
        <v>796.27</v>
      </c>
      <c r="I17" s="12">
        <f>ROUND(IF($H$17&lt;=0,0,$H$17*StoreAPR/12),2)</f>
        <v>19.9</v>
      </c>
      <c r="J17" s="12">
        <f>ROUND(IF($H$17&lt;=0,0,MIN(StoreMinPayment,$H$17+$I$17)),2)</f>
        <v>96.0</v>
      </c>
      <c r="K17" s="12">
        <f>ROUND(IF($H$17&lt;=0,0,MIN(MAX(0,$H$17+$I$17-$J$17),MAX(0,$AG$17-$F$17))),2)</f>
        <v>214.0</v>
      </c>
      <c r="L17" s="12">
        <f>ROUND(MAX(0,$H$17+$I$17-$J$17-$K$17),2)</f>
        <v>506.17</v>
      </c>
      <c r="M17" s="12">
        <f>$Q$16</f>
        <v>8080.88</v>
      </c>
      <c r="N17" s="12">
        <f>ROUND(IF($M$17&lt;=0,0,$M$17*VisaAPR/12),2)</f>
        <v>181.75</v>
      </c>
      <c r="O17" s="12">
        <f>ROUND(IF($M$17&lt;=0,0,MIN(VisaMinPayment,$M$17+$N$17)),2)</f>
        <v>270.0</v>
      </c>
      <c r="P17" s="12">
        <f>ROUND(IF($M$17&lt;=0,0,MIN(MAX(0,$M$17+$N$17-$O$17),MAX(0,$AG$17-$F$17-$K$17))),2)</f>
        <v>0.0</v>
      </c>
      <c r="Q17" s="12">
        <f>ROUND(MAX(0,$M$17+$N$17-$O$17-$P$17),2)</f>
        <v>7992.63</v>
      </c>
      <c r="R17" s="12">
        <f>$V$16</f>
        <v>3751.16</v>
      </c>
      <c r="S17" s="12">
        <f>ROUND(IF($R$17&lt;=0,0,$R$17*PersonalAPR/12),2)</f>
        <v>42.17</v>
      </c>
      <c r="T17" s="12">
        <f>ROUND(IF($R$17&lt;=0,0,MIN(PersonalMinPayment,$R$17+$S$17)),2)</f>
        <v>154.0</v>
      </c>
      <c r="U17" s="12">
        <f>ROUND(IF($R$17&lt;=0,0,MIN(MAX(0,$R$17+$S$17-$T$17),MAX(0,$AG$17-$F$17-$K$17-$P$17))),2)</f>
        <v>0.0</v>
      </c>
      <c r="V17" s="12">
        <f>ROUND(MAX(0,$R$17+$S$17-$T$17-$U$17),2)</f>
        <v>3639.33</v>
      </c>
      <c r="W17" s="12">
        <f>$AA$16</f>
        <v>1746.37</v>
      </c>
      <c r="X17" s="12">
        <f>ROUND(IF($W$17&lt;=0,0,$W$17*FurnitureAPR/12),2)</f>
        <v>14.54</v>
      </c>
      <c r="Y17" s="12">
        <f>ROUND(IF($W$17&lt;=0,0,MIN(FurnitureMinPayment,$W$17+$X$17)),2)</f>
        <v>72.0</v>
      </c>
      <c r="Z17" s="12">
        <f>ROUND(IF($W$17&lt;=0,0,MIN(MAX(0,$W$17+$X$17-$Y$17),MAX(0,$AG$17-$F$17-$K$17-$P$17-$U$17))),2)</f>
        <v>0.0</v>
      </c>
      <c r="AA17" s="12">
        <f>ROUND(MAX(0,$W$17+$X$17-$Y$17-$Z$17),2)</f>
        <v>1688.91</v>
      </c>
      <c r="AB17" s="12">
        <f>$AF$16</f>
        <v>4856.19</v>
      </c>
      <c r="AC17" s="12">
        <f>ROUND(IF($AB$17&lt;=0,0,$AB$17*AutoAPR/12),2)</f>
        <v>26.26</v>
      </c>
      <c r="AD17" s="12">
        <f>ROUND(IF($AB$17&lt;=0,0,MIN(AutoMinPayment,$AB$17+$AC$17)),2)</f>
        <v>194.0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4688.45</v>
      </c>
      <c r="AG17" s="12">
        <f>ROUND(ExtraPayment+IF($G$16&lt;=0,MedicalMinPayment,0)+IF($L$16&lt;=0,StoreMinPayment,0)+IF($Q$16&lt;=0,VisaMinPayment,0)+IF($V$16&lt;=0,PersonalMinPayment,0)+IF($AA$16&lt;=0,FurnitureMinPayment,0)+IF($AF$16&lt;=0,AutoMinPayment,0),2)</f>
        <v>214.0</v>
      </c>
      <c r="AH17" s="12">
        <f>ROUND(SUM($D$17,$I$17,$N$17,$S$17,$X$17,$AC$17),2)</f>
        <v>284.62</v>
      </c>
      <c r="AI17" s="12">
        <f>ROUND(SUM($G$17,$L$17,$Q$17,$V$17,$AA$17,$AF$17),2)</f>
        <v>18515.49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ROUND(IF($C$18&lt;=0,0,$C$18*MedicalAPR/12),2)</f>
        <v>0.0</v>
      </c>
      <c r="E18" s="12">
        <f>ROUND(IF($C$18&lt;=0,0,MIN(MedicalMinPayment,$C$18+$D$18)),2)</f>
        <v>0.0</v>
      </c>
      <c r="F18" s="12">
        <f>ROUND(IF($C$18&lt;=0,0,MIN(MAX(0,$C$18+$D$18-$E$18),$AG$18)),2)</f>
        <v>0.0</v>
      </c>
      <c r="G18" s="12">
        <f>ROUND(MAX(0,$C$18+$D$18-$E$18-$F$18),2)</f>
        <v>0.0</v>
      </c>
      <c r="H18" s="12">
        <f>$L$17</f>
        <v>506.17</v>
      </c>
      <c r="I18" s="12">
        <f>ROUND(IF($H$18&lt;=0,0,$H$18*StoreAPR/12),2)</f>
        <v>12.65</v>
      </c>
      <c r="J18" s="12">
        <f>ROUND(IF($H$18&lt;=0,0,MIN(StoreMinPayment,$H$18+$I$18)),2)</f>
        <v>96.0</v>
      </c>
      <c r="K18" s="12">
        <f>ROUND(IF($H$18&lt;=0,0,MIN(MAX(0,$H$18+$I$18-$J$18),MAX(0,$AG$18-$F$18))),2)</f>
        <v>214.0</v>
      </c>
      <c r="L18" s="12">
        <f>ROUND(MAX(0,$H$18+$I$18-$J$18-$K$18),2)</f>
        <v>208.82</v>
      </c>
      <c r="M18" s="12">
        <f>$Q$17</f>
        <v>7992.63</v>
      </c>
      <c r="N18" s="12">
        <f>ROUND(IF($M$18&lt;=0,0,$M$18*VisaAPR/12),2)</f>
        <v>179.77</v>
      </c>
      <c r="O18" s="12">
        <f>ROUND(IF($M$18&lt;=0,0,MIN(VisaMinPayment,$M$18+$N$18)),2)</f>
        <v>270.0</v>
      </c>
      <c r="P18" s="12">
        <f>ROUND(IF($M$18&lt;=0,0,MIN(MAX(0,$M$18+$N$18-$O$18),MAX(0,$AG$18-$F$18-$K$18))),2)</f>
        <v>0.0</v>
      </c>
      <c r="Q18" s="12">
        <f>ROUND(MAX(0,$M$18+$N$18-$O$18-$P$18),2)</f>
        <v>7902.4</v>
      </c>
      <c r="R18" s="12">
        <f>$V$17</f>
        <v>3639.33</v>
      </c>
      <c r="S18" s="12">
        <f>ROUND(IF($R$18&lt;=0,0,$R$18*PersonalAPR/12),2)</f>
        <v>40.91</v>
      </c>
      <c r="T18" s="12">
        <f>ROUND(IF($R$18&lt;=0,0,MIN(PersonalMinPayment,$R$18+$S$18)),2)</f>
        <v>154.0</v>
      </c>
      <c r="U18" s="12">
        <f>ROUND(IF($R$18&lt;=0,0,MIN(MAX(0,$R$18+$S$18-$T$18),MAX(0,$AG$18-$F$18-$K$18-$P$18))),2)</f>
        <v>0.0</v>
      </c>
      <c r="V18" s="12">
        <f>ROUND(MAX(0,$R$18+$S$18-$T$18-$U$18),2)</f>
        <v>3526.24</v>
      </c>
      <c r="W18" s="12">
        <f>$AA$17</f>
        <v>1688.91</v>
      </c>
      <c r="X18" s="12">
        <f>ROUND(IF($W$18&lt;=0,0,$W$18*FurnitureAPR/12),2)</f>
        <v>14.06</v>
      </c>
      <c r="Y18" s="12">
        <f>ROUND(IF($W$18&lt;=0,0,MIN(FurnitureMinPayment,$W$18+$X$18)),2)</f>
        <v>72.0</v>
      </c>
      <c r="Z18" s="12">
        <f>ROUND(IF($W$18&lt;=0,0,MIN(MAX(0,$W$18+$X$18-$Y$18),MAX(0,$AG$18-$F$18-$K$18-$P$18-$U$18))),2)</f>
        <v>0.0</v>
      </c>
      <c r="AA18" s="12">
        <f>ROUND(MAX(0,$W$18+$X$18-$Y$18-$Z$18),2)</f>
        <v>1630.97</v>
      </c>
      <c r="AB18" s="12">
        <f>$AF$17</f>
        <v>4688.45</v>
      </c>
      <c r="AC18" s="12">
        <f>ROUND(IF($AB$18&lt;=0,0,$AB$18*AutoAPR/12),2)</f>
        <v>25.36</v>
      </c>
      <c r="AD18" s="12">
        <f>ROUND(IF($AB$18&lt;=0,0,MIN(AutoMinPayment,$AB$18+$AC$18)),2)</f>
        <v>194.0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4519.81</v>
      </c>
      <c r="AG18" s="12">
        <f>ROUND(ExtraPayment+IF($G$17&lt;=0,MedicalMinPayment,0)+IF($L$17&lt;=0,StoreMinPayment,0)+IF($Q$17&lt;=0,VisaMinPayment,0)+IF($V$17&lt;=0,PersonalMinPayment,0)+IF($AA$17&lt;=0,FurnitureMinPayment,0)+IF($AF$17&lt;=0,AutoMinPayment,0),2)</f>
        <v>214.0</v>
      </c>
      <c r="AH18" s="12">
        <f>ROUND(SUM($D$18,$I$18,$N$18,$S$18,$X$18,$AC$18),2)</f>
        <v>272.75</v>
      </c>
      <c r="AI18" s="12">
        <f>ROUND(SUM($G$18,$L$18,$Q$18,$V$18,$AA$18,$AF$18),2)</f>
        <v>17788.24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ROUND(IF($C$19&lt;=0,0,$C$19*MedicalAPR/12),2)</f>
        <v>0.0</v>
      </c>
      <c r="E19" s="12">
        <f>ROUND(IF($C$19&lt;=0,0,MIN(MedicalMinPayment,$C$19+$D$19)),2)</f>
        <v>0.0</v>
      </c>
      <c r="F19" s="12">
        <f>ROUND(IF($C$19&lt;=0,0,MIN(MAX(0,$C$19+$D$19-$E$19),$AG$19)),2)</f>
        <v>0.0</v>
      </c>
      <c r="G19" s="12">
        <f>ROUND(MAX(0,$C$19+$D$19-$E$19-$F$19),2)</f>
        <v>0.0</v>
      </c>
      <c r="H19" s="12">
        <f>$L$18</f>
        <v>208.82</v>
      </c>
      <c r="I19" s="12">
        <f>ROUND(IF($H$19&lt;=0,0,$H$19*StoreAPR/12),2)</f>
        <v>5.22</v>
      </c>
      <c r="J19" s="12">
        <f>ROUND(IF($H$19&lt;=0,0,MIN(StoreMinPayment,$H$19+$I$19)),2)</f>
        <v>96.0</v>
      </c>
      <c r="K19" s="12">
        <f>ROUND(IF($H$19&lt;=0,0,MIN(MAX(0,$H$19+$I$19-$J$19),MAX(0,$AG$19-$F$19))),2)</f>
        <v>118.04</v>
      </c>
      <c r="L19" s="12">
        <f>ROUND(MAX(0,$H$19+$I$19-$J$19-$K$19),2)</f>
        <v>0.0</v>
      </c>
      <c r="M19" s="12">
        <f>$Q$18</f>
        <v>7902.4</v>
      </c>
      <c r="N19" s="12">
        <f>ROUND(IF($M$19&lt;=0,0,$M$19*VisaAPR/12),2)</f>
        <v>177.74</v>
      </c>
      <c r="O19" s="12">
        <f>ROUND(IF($M$19&lt;=0,0,MIN(VisaMinPayment,$M$19+$N$19)),2)</f>
        <v>270.0</v>
      </c>
      <c r="P19" s="12">
        <f>ROUND(IF($M$19&lt;=0,0,MIN(MAX(0,$M$19+$N$19-$O$19),MAX(0,$AG$19-$F$19-$K$19))),2)</f>
        <v>95.96</v>
      </c>
      <c r="Q19" s="12">
        <f>ROUND(MAX(0,$M$19+$N$19-$O$19-$P$19),2)</f>
        <v>7714.18</v>
      </c>
      <c r="R19" s="12">
        <f>$V$18</f>
        <v>3526.24</v>
      </c>
      <c r="S19" s="12">
        <f>ROUND(IF($R$19&lt;=0,0,$R$19*PersonalAPR/12),2)</f>
        <v>39.64</v>
      </c>
      <c r="T19" s="12">
        <f>ROUND(IF($R$19&lt;=0,0,MIN(PersonalMinPayment,$R$19+$S$19)),2)</f>
        <v>154.0</v>
      </c>
      <c r="U19" s="12">
        <f>ROUND(IF($R$19&lt;=0,0,MIN(MAX(0,$R$19+$S$19-$T$19),MAX(0,$AG$19-$F$19-$K$19-$P$19))),2)</f>
        <v>0.0</v>
      </c>
      <c r="V19" s="12">
        <f>ROUND(MAX(0,$R$19+$S$19-$T$19-$U$19),2)</f>
        <v>3411.88</v>
      </c>
      <c r="W19" s="12">
        <f>$AA$18</f>
        <v>1630.97</v>
      </c>
      <c r="X19" s="12">
        <f>ROUND(IF($W$19&lt;=0,0,$W$19*FurnitureAPR/12),2)</f>
        <v>13.58</v>
      </c>
      <c r="Y19" s="12">
        <f>ROUND(IF($W$19&lt;=0,0,MIN(FurnitureMinPayment,$W$19+$X$19)),2)</f>
        <v>72.0</v>
      </c>
      <c r="Z19" s="12">
        <f>ROUND(IF($W$19&lt;=0,0,MIN(MAX(0,$W$19+$X$19-$Y$19),MAX(0,$AG$19-$F$19-$K$19-$P$19-$U$19))),2)</f>
        <v>0.0</v>
      </c>
      <c r="AA19" s="12">
        <f>ROUND(MAX(0,$W$19+$X$19-$Y$19-$Z$19),2)</f>
        <v>1572.55</v>
      </c>
      <c r="AB19" s="12">
        <f>$AF$18</f>
        <v>4519.81</v>
      </c>
      <c r="AC19" s="12">
        <f>ROUND(IF($AB$19&lt;=0,0,$AB$19*AutoAPR/12),2)</f>
        <v>24.44</v>
      </c>
      <c r="AD19" s="12">
        <f>ROUND(IF($AB$19&lt;=0,0,MIN(AutoMinPayment,$AB$19+$AC$19)),2)</f>
        <v>194.0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4350.25</v>
      </c>
      <c r="AG19" s="12">
        <f>ROUND(ExtraPayment+IF($G$18&lt;=0,MedicalMinPayment,0)+IF($L$18&lt;=0,StoreMinPayment,0)+IF($Q$18&lt;=0,VisaMinPayment,0)+IF($V$18&lt;=0,PersonalMinPayment,0)+IF($AA$18&lt;=0,FurnitureMinPayment,0)+IF($AF$18&lt;=0,AutoMinPayment,0),2)</f>
        <v>214.0</v>
      </c>
      <c r="AH19" s="12">
        <f>ROUND(SUM($D$19,$I$19,$N$19,$S$19,$X$19,$AC$19),2)</f>
        <v>260.62</v>
      </c>
      <c r="AI19" s="12">
        <f>ROUND(SUM($G$19,$L$19,$Q$19,$V$19,$AA$19,$AF$19),2)</f>
        <v>17048.86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ROUND(IF($C$20&lt;=0,0,$C$20*MedicalAPR/12),2)</f>
        <v>0.0</v>
      </c>
      <c r="E20" s="12">
        <f>ROUND(IF($C$20&lt;=0,0,MIN(MedicalMinPayment,$C$20+$D$20)),2)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ROUND(IF($H$20&lt;=0,0,$H$20*StoreAPR/12),2)</f>
        <v>0.0</v>
      </c>
      <c r="J20" s="12">
        <f>ROUND(IF($H$20&lt;=0,0,MIN(StoreMinPayment,$H$20+$I$20)),2)</f>
        <v>0.0</v>
      </c>
      <c r="K20" s="12">
        <f>ROUND(IF($H$20&lt;=0,0,MIN(MAX(0,$H$20+$I$20-$J$20),MAX(0,$AG$20-$F$20))),2)</f>
        <v>0.0</v>
      </c>
      <c r="L20" s="12">
        <f>ROUND(MAX(0,$H$20+$I$20-$J$20-$K$20),2)</f>
        <v>0.0</v>
      </c>
      <c r="M20" s="12">
        <f>$Q$19</f>
        <v>7714.18</v>
      </c>
      <c r="N20" s="12">
        <f>ROUND(IF($M$20&lt;=0,0,$M$20*VisaAPR/12),2)</f>
        <v>173.5</v>
      </c>
      <c r="O20" s="12">
        <f>ROUND(IF($M$20&lt;=0,0,MIN(VisaMinPayment,$M$20+$N$20)),2)</f>
        <v>270.0</v>
      </c>
      <c r="P20" s="12">
        <f>ROUND(IF($M$20&lt;=0,0,MIN(MAX(0,$M$20+$N$20-$O$20),MAX(0,$AG$20-$F$20-$K$20))),2)</f>
        <v>310.0</v>
      </c>
      <c r="Q20" s="12">
        <f>ROUND(MAX(0,$M$20+$N$20-$O$20-$P$20),2)</f>
        <v>7307.68</v>
      </c>
      <c r="R20" s="12">
        <f>$V$19</f>
        <v>3411.88</v>
      </c>
      <c r="S20" s="12">
        <f>ROUND(IF($R$20&lt;=0,0,$R$20*PersonalAPR/12),2)</f>
        <v>38.36</v>
      </c>
      <c r="T20" s="12">
        <f>ROUND(IF($R$20&lt;=0,0,MIN(PersonalMinPayment,$R$20+$S$20)),2)</f>
        <v>154.0</v>
      </c>
      <c r="U20" s="12">
        <f>ROUND(IF($R$20&lt;=0,0,MIN(MAX(0,$R$20+$S$20-$T$20),MAX(0,$AG$20-$F$20-$K$20-$P$20))),2)</f>
        <v>0.0</v>
      </c>
      <c r="V20" s="12">
        <f>ROUND(MAX(0,$R$20+$S$20-$T$20-$U$20),2)</f>
        <v>3296.24</v>
      </c>
      <c r="W20" s="12">
        <f>$AA$19</f>
        <v>1572.55</v>
      </c>
      <c r="X20" s="12">
        <f>ROUND(IF($W$20&lt;=0,0,$W$20*FurnitureAPR/12),2)</f>
        <v>13.09</v>
      </c>
      <c r="Y20" s="12">
        <f>ROUND(IF($W$20&lt;=0,0,MIN(FurnitureMinPayment,$W$20+$X$20)),2)</f>
        <v>72.0</v>
      </c>
      <c r="Z20" s="12">
        <f>ROUND(IF($W$20&lt;=0,0,MIN(MAX(0,$W$20+$X$20-$Y$20),MAX(0,$AG$20-$F$20-$K$20-$P$20-$U$20))),2)</f>
        <v>0.0</v>
      </c>
      <c r="AA20" s="12">
        <f>ROUND(MAX(0,$W$20+$X$20-$Y$20-$Z$20),2)</f>
        <v>1513.64</v>
      </c>
      <c r="AB20" s="12">
        <f>$AF$19</f>
        <v>4350.25</v>
      </c>
      <c r="AC20" s="12">
        <f>ROUND(IF($AB$20&lt;=0,0,$AB$20*AutoAPR/12),2)</f>
        <v>23.53</v>
      </c>
      <c r="AD20" s="12">
        <f>ROUND(IF($AB$20&lt;=0,0,MIN(AutoMinPayment,$AB$20+$AC$20)),2)</f>
        <v>194.0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4179.78</v>
      </c>
      <c r="AG20" s="12">
        <f>ROUND(ExtraPayment+IF($G$19&lt;=0,MedicalMinPayment,0)+IF($L$19&lt;=0,StoreMinPayment,0)+IF($Q$19&lt;=0,VisaMinPayment,0)+IF($V$19&lt;=0,PersonalMinPayment,0)+IF($AA$19&lt;=0,FurnitureMinPayment,0)+IF($AF$19&lt;=0,AutoMinPayment,0),2)</f>
        <v>310.0</v>
      </c>
      <c r="AH20" s="12">
        <f>ROUND(SUM($D$20,$I$20,$N$20,$S$20,$X$20,$AC$20),2)</f>
        <v>248.48</v>
      </c>
      <c r="AI20" s="12">
        <f>ROUND(SUM($G$20,$L$20,$Q$20,$V$20,$AA$20,$AF$20),2)</f>
        <v>16297.34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ROUND(IF($C$21&lt;=0,0,$C$21*MedicalAPR/12),2)</f>
        <v>0.0</v>
      </c>
      <c r="E21" s="12">
        <f>ROUND(IF($C$21&lt;=0,0,MIN(MedicalMinPayment,$C$21+$D$21)),2)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ROUND(IF($H$21&lt;=0,0,$H$21*StoreAPR/12),2)</f>
        <v>0.0</v>
      </c>
      <c r="J21" s="12">
        <f>ROUND(IF($H$21&lt;=0,0,MIN(StoreMinPayment,$H$21+$I$21)),2)</f>
        <v>0.0</v>
      </c>
      <c r="K21" s="12">
        <f>ROUND(IF($H$21&lt;=0,0,MIN(MAX(0,$H$21+$I$21-$J$21),MAX(0,$AG$21-$F$21))),2)</f>
        <v>0.0</v>
      </c>
      <c r="L21" s="12">
        <f>ROUND(MAX(0,$H$21+$I$21-$J$21-$K$21),2)</f>
        <v>0.0</v>
      </c>
      <c r="M21" s="12">
        <f>$Q$20</f>
        <v>7307.68</v>
      </c>
      <c r="N21" s="12">
        <f>ROUND(IF($M$21&lt;=0,0,$M$21*VisaAPR/12),2)</f>
        <v>164.36</v>
      </c>
      <c r="O21" s="12">
        <f>ROUND(IF($M$21&lt;=0,0,MIN(VisaMinPayment,$M$21+$N$21)),2)</f>
        <v>270.0</v>
      </c>
      <c r="P21" s="12">
        <f>ROUND(IF($M$21&lt;=0,0,MIN(MAX(0,$M$21+$N$21-$O$21),MAX(0,$AG$21-$F$21-$K$21))),2)</f>
        <v>310.0</v>
      </c>
      <c r="Q21" s="12">
        <f>ROUND(MAX(0,$M$21+$N$21-$O$21-$P$21),2)</f>
        <v>6892.04</v>
      </c>
      <c r="R21" s="12">
        <f>$V$20</f>
        <v>3296.24</v>
      </c>
      <c r="S21" s="12">
        <f>ROUND(IF($R$21&lt;=0,0,$R$21*PersonalAPR/12),2)</f>
        <v>37.06</v>
      </c>
      <c r="T21" s="12">
        <f>ROUND(IF($R$21&lt;=0,0,MIN(PersonalMinPayment,$R$21+$S$21)),2)</f>
        <v>154.0</v>
      </c>
      <c r="U21" s="12">
        <f>ROUND(IF($R$21&lt;=0,0,MIN(MAX(0,$R$21+$S$21-$T$21),MAX(0,$AG$21-$F$21-$K$21-$P$21))),2)</f>
        <v>0.0</v>
      </c>
      <c r="V21" s="12">
        <f>ROUND(MAX(0,$R$21+$S$21-$T$21-$U$21),2)</f>
        <v>3179.3</v>
      </c>
      <c r="W21" s="12">
        <f>$AA$20</f>
        <v>1513.64</v>
      </c>
      <c r="X21" s="12">
        <f>ROUND(IF($W$21&lt;=0,0,$W$21*FurnitureAPR/12),2)</f>
        <v>12.6</v>
      </c>
      <c r="Y21" s="12">
        <f>ROUND(IF($W$21&lt;=0,0,MIN(FurnitureMinPayment,$W$21+$X$21)),2)</f>
        <v>72.0</v>
      </c>
      <c r="Z21" s="12">
        <f>ROUND(IF($W$21&lt;=0,0,MIN(MAX(0,$W$21+$X$21-$Y$21),MAX(0,$AG$21-$F$21-$K$21-$P$21-$U$21))),2)</f>
        <v>0.0</v>
      </c>
      <c r="AA21" s="12">
        <f>ROUND(MAX(0,$W$21+$X$21-$Y$21-$Z$21),2)</f>
        <v>1454.24</v>
      </c>
      <c r="AB21" s="12">
        <f>$AF$20</f>
        <v>4179.78</v>
      </c>
      <c r="AC21" s="12">
        <f>ROUND(IF($AB$21&lt;=0,0,$AB$21*AutoAPR/12),2)</f>
        <v>22.61</v>
      </c>
      <c r="AD21" s="12">
        <f>ROUND(IF($AB$21&lt;=0,0,MIN(AutoMinPayment,$AB$21+$AC$21)),2)</f>
        <v>194.0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4008.39</v>
      </c>
      <c r="AG21" s="12">
        <f>ROUND(ExtraPayment+IF($G$20&lt;=0,MedicalMinPayment,0)+IF($L$20&lt;=0,StoreMinPayment,0)+IF($Q$20&lt;=0,VisaMinPayment,0)+IF($V$20&lt;=0,PersonalMinPayment,0)+IF($AA$20&lt;=0,FurnitureMinPayment,0)+IF($AF$20&lt;=0,AutoMinPayment,0),2)</f>
        <v>310.0</v>
      </c>
      <c r="AH21" s="12">
        <f>ROUND(SUM($D$21,$I$21,$N$21,$S$21,$X$21,$AC$21),2)</f>
        <v>236.63</v>
      </c>
      <c r="AI21" s="12">
        <f>ROUND(SUM($G$21,$L$21,$Q$21,$V$21,$AA$21,$AF$21),2)</f>
        <v>15533.97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ROUND(IF($C$22&lt;=0,0,$C$22*MedicalAPR/12),2)</f>
        <v>0.0</v>
      </c>
      <c r="E22" s="12">
        <f>ROUND(IF($C$22&lt;=0,0,MIN(MedicalMinPayment,$C$22+$D$22)),2)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ROUND(IF($H$22&lt;=0,0,$H$22*StoreAPR/12),2)</f>
        <v>0.0</v>
      </c>
      <c r="J22" s="12">
        <f>ROUND(IF($H$22&lt;=0,0,MIN(StoreMinPayment,$H$22+$I$22)),2)</f>
        <v>0.0</v>
      </c>
      <c r="K22" s="12">
        <f>ROUND(IF($H$22&lt;=0,0,MIN(MAX(0,$H$22+$I$22-$J$22),MAX(0,$AG$22-$F$22))),2)</f>
        <v>0.0</v>
      </c>
      <c r="L22" s="12">
        <f>ROUND(MAX(0,$H$22+$I$22-$J$22-$K$22),2)</f>
        <v>0.0</v>
      </c>
      <c r="M22" s="12">
        <f>$Q$21</f>
        <v>6892.04</v>
      </c>
      <c r="N22" s="12">
        <f>ROUND(IF($M$22&lt;=0,0,$M$22*VisaAPR/12),2)</f>
        <v>155.01</v>
      </c>
      <c r="O22" s="12">
        <f>ROUND(IF($M$22&lt;=0,0,MIN(VisaMinPayment,$M$22+$N$22)),2)</f>
        <v>270.0</v>
      </c>
      <c r="P22" s="12">
        <f>ROUND(IF($M$22&lt;=0,0,MIN(MAX(0,$M$22+$N$22-$O$22),MAX(0,$AG$22-$F$22-$K$22))),2)</f>
        <v>310.0</v>
      </c>
      <c r="Q22" s="12">
        <f>ROUND(MAX(0,$M$22+$N$22-$O$22-$P$22),2)</f>
        <v>6467.05</v>
      </c>
      <c r="R22" s="12">
        <f>$V$21</f>
        <v>3179.3</v>
      </c>
      <c r="S22" s="12">
        <f>ROUND(IF($R$22&lt;=0,0,$R$22*PersonalAPR/12),2)</f>
        <v>35.74</v>
      </c>
      <c r="T22" s="12">
        <f>ROUND(IF($R$22&lt;=0,0,MIN(PersonalMinPayment,$R$22+$S$22)),2)</f>
        <v>154.0</v>
      </c>
      <c r="U22" s="12">
        <f>ROUND(IF($R$22&lt;=0,0,MIN(MAX(0,$R$22+$S$22-$T$22),MAX(0,$AG$22-$F$22-$K$22-$P$22))),2)</f>
        <v>0.0</v>
      </c>
      <c r="V22" s="12">
        <f>ROUND(MAX(0,$R$22+$S$22-$T$22-$U$22),2)</f>
        <v>3061.04</v>
      </c>
      <c r="W22" s="12">
        <f>$AA$21</f>
        <v>1454.24</v>
      </c>
      <c r="X22" s="12">
        <f>ROUND(IF($W$22&lt;=0,0,$W$22*FurnitureAPR/12),2)</f>
        <v>12.11</v>
      </c>
      <c r="Y22" s="12">
        <f>ROUND(IF($W$22&lt;=0,0,MIN(FurnitureMinPayment,$W$22+$X$22)),2)</f>
        <v>72.0</v>
      </c>
      <c r="Z22" s="12">
        <f>ROUND(IF($W$22&lt;=0,0,MIN(MAX(0,$W$22+$X$22-$Y$22),MAX(0,$AG$22-$F$22-$K$22-$P$22-$U$22))),2)</f>
        <v>0.0</v>
      </c>
      <c r="AA22" s="12">
        <f>ROUND(MAX(0,$W$22+$X$22-$Y$22-$Z$22),2)</f>
        <v>1394.35</v>
      </c>
      <c r="AB22" s="12">
        <f>$AF$21</f>
        <v>4008.39</v>
      </c>
      <c r="AC22" s="12">
        <f>ROUND(IF($AB$22&lt;=0,0,$AB$22*AutoAPR/12),2)</f>
        <v>21.68</v>
      </c>
      <c r="AD22" s="12">
        <f>ROUND(IF($AB$22&lt;=0,0,MIN(AutoMinPayment,$AB$22+$AC$22)),2)</f>
        <v>194.0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3836.07</v>
      </c>
      <c r="AG22" s="12">
        <f>ROUND(ExtraPayment+IF($G$21&lt;=0,MedicalMinPayment,0)+IF($L$21&lt;=0,StoreMinPayment,0)+IF($Q$21&lt;=0,VisaMinPayment,0)+IF($V$21&lt;=0,PersonalMinPayment,0)+IF($AA$21&lt;=0,FurnitureMinPayment,0)+IF($AF$21&lt;=0,AutoMinPayment,0),2)</f>
        <v>310.0</v>
      </c>
      <c r="AH22" s="12">
        <f>ROUND(SUM($D$22,$I$22,$N$22,$S$22,$X$22,$AC$22),2)</f>
        <v>224.54</v>
      </c>
      <c r="AI22" s="12">
        <f>ROUND(SUM($G$22,$L$22,$Q$22,$V$22,$AA$22,$AF$22),2)</f>
        <v>14758.51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ROUND(IF($C$23&lt;=0,0,$C$23*MedicalAPR/12),2)</f>
        <v>0.0</v>
      </c>
      <c r="E23" s="12">
        <f>ROUND(IF($C$23&lt;=0,0,MIN(MedicalMinPayment,$C$23+$D$23)),2)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ROUND(IF($H$23&lt;=0,0,$H$23*StoreAPR/12),2)</f>
        <v>0.0</v>
      </c>
      <c r="J23" s="12">
        <f>ROUND(IF($H$23&lt;=0,0,MIN(StoreMinPayment,$H$23+$I$23)),2)</f>
        <v>0.0</v>
      </c>
      <c r="K23" s="12">
        <f>ROUND(IF($H$23&lt;=0,0,MIN(MAX(0,$H$23+$I$23-$J$23),MAX(0,$AG$23-$F$23))),2)</f>
        <v>0.0</v>
      </c>
      <c r="L23" s="12">
        <f>ROUND(MAX(0,$H$23+$I$23-$J$23-$K$23),2)</f>
        <v>0.0</v>
      </c>
      <c r="M23" s="12">
        <f>$Q$22</f>
        <v>6467.05</v>
      </c>
      <c r="N23" s="12">
        <f>ROUND(IF($M$23&lt;=0,0,$M$23*VisaAPR/12),2)</f>
        <v>145.45</v>
      </c>
      <c r="O23" s="12">
        <f>ROUND(IF($M$23&lt;=0,0,MIN(VisaMinPayment,$M$23+$N$23)),2)</f>
        <v>270.0</v>
      </c>
      <c r="P23" s="12">
        <f>ROUND(IF($M$23&lt;=0,0,MIN(MAX(0,$M$23+$N$23-$O$23),MAX(0,$AG$23-$F$23-$K$23))),2)</f>
        <v>310.0</v>
      </c>
      <c r="Q23" s="12">
        <f>ROUND(MAX(0,$M$23+$N$23-$O$23-$P$23),2)</f>
        <v>6032.5</v>
      </c>
      <c r="R23" s="12">
        <f>$V$22</f>
        <v>3061.04</v>
      </c>
      <c r="S23" s="12">
        <f>ROUND(IF($R$23&lt;=0,0,$R$23*PersonalAPR/12),2)</f>
        <v>34.41</v>
      </c>
      <c r="T23" s="12">
        <f>ROUND(IF($R$23&lt;=0,0,MIN(PersonalMinPayment,$R$23+$S$23)),2)</f>
        <v>154.0</v>
      </c>
      <c r="U23" s="12">
        <f>ROUND(IF($R$23&lt;=0,0,MIN(MAX(0,$R$23+$S$23-$T$23),MAX(0,$AG$23-$F$23-$K$23-$P$23))),2)</f>
        <v>0.0</v>
      </c>
      <c r="V23" s="12">
        <f>ROUND(MAX(0,$R$23+$S$23-$T$23-$U$23),2)</f>
        <v>2941.45</v>
      </c>
      <c r="W23" s="12">
        <f>$AA$22</f>
        <v>1394.35</v>
      </c>
      <c r="X23" s="12">
        <f>ROUND(IF($W$23&lt;=0,0,$W$23*FurnitureAPR/12),2)</f>
        <v>11.61</v>
      </c>
      <c r="Y23" s="12">
        <f>ROUND(IF($W$23&lt;=0,0,MIN(FurnitureMinPayment,$W$23+$X$23)),2)</f>
        <v>72.0</v>
      </c>
      <c r="Z23" s="12">
        <f>ROUND(IF($W$23&lt;=0,0,MIN(MAX(0,$W$23+$X$23-$Y$23),MAX(0,$AG$23-$F$23-$K$23-$P$23-$U$23))),2)</f>
        <v>0.0</v>
      </c>
      <c r="AA23" s="12">
        <f>ROUND(MAX(0,$W$23+$X$23-$Y$23-$Z$23),2)</f>
        <v>1333.96</v>
      </c>
      <c r="AB23" s="12">
        <f>$AF$22</f>
        <v>3836.07</v>
      </c>
      <c r="AC23" s="12">
        <f>ROUND(IF($AB$23&lt;=0,0,$AB$23*AutoAPR/12),2)</f>
        <v>20.75</v>
      </c>
      <c r="AD23" s="12">
        <f>ROUND(IF($AB$23&lt;=0,0,MIN(AutoMinPayment,$AB$23+$AC$23)),2)</f>
        <v>194.0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3662.82</v>
      </c>
      <c r="AG23" s="12">
        <f>ROUND(ExtraPayment+IF($G$22&lt;=0,MedicalMinPayment,0)+IF($L$22&lt;=0,StoreMinPayment,0)+IF($Q$22&lt;=0,VisaMinPayment,0)+IF($V$22&lt;=0,PersonalMinPayment,0)+IF($AA$22&lt;=0,FurnitureMinPayment,0)+IF($AF$22&lt;=0,AutoMinPayment,0),2)</f>
        <v>310.0</v>
      </c>
      <c r="AH23" s="12">
        <f>ROUND(SUM($D$23,$I$23,$N$23,$S$23,$X$23,$AC$23),2)</f>
        <v>212.22</v>
      </c>
      <c r="AI23" s="12">
        <f>ROUND(SUM($G$23,$L$23,$Q$23,$V$23,$AA$23,$AF$23),2)</f>
        <v>13970.73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ROUND(IF($C$24&lt;=0,0,$C$24*MedicalAPR/12),2)</f>
        <v>0.0</v>
      </c>
      <c r="E24" s="12">
        <f>ROUND(IF($C$24&lt;=0,0,MIN(MedicalMinPayment,$C$24+$D$24)),2)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ROUND(IF($H$24&lt;=0,0,$H$24*StoreAPR/12),2)</f>
        <v>0.0</v>
      </c>
      <c r="J24" s="12">
        <f>ROUND(IF($H$24&lt;=0,0,MIN(StoreMinPayment,$H$24+$I$24)),2)</f>
        <v>0.0</v>
      </c>
      <c r="K24" s="12">
        <f>ROUND(IF($H$24&lt;=0,0,MIN(MAX(0,$H$24+$I$24-$J$24),MAX(0,$AG$24-$F$24))),2)</f>
        <v>0.0</v>
      </c>
      <c r="L24" s="12">
        <f>ROUND(MAX(0,$H$24+$I$24-$J$24-$K$24),2)</f>
        <v>0.0</v>
      </c>
      <c r="M24" s="12">
        <f>$Q$23</f>
        <v>6032.5</v>
      </c>
      <c r="N24" s="12">
        <f>ROUND(IF($M$24&lt;=0,0,$M$24*VisaAPR/12),2)</f>
        <v>135.68</v>
      </c>
      <c r="O24" s="12">
        <f>ROUND(IF($M$24&lt;=0,0,MIN(VisaMinPayment,$M$24+$N$24)),2)</f>
        <v>270.0</v>
      </c>
      <c r="P24" s="12">
        <f>ROUND(IF($M$24&lt;=0,0,MIN(MAX(0,$M$24+$N$24-$O$24),MAX(0,$AG$24-$F$24-$K$24))),2)</f>
        <v>310.0</v>
      </c>
      <c r="Q24" s="12">
        <f>ROUND(MAX(0,$M$24+$N$24-$O$24-$P$24),2)</f>
        <v>5588.18</v>
      </c>
      <c r="R24" s="12">
        <f>$V$23</f>
        <v>2941.45</v>
      </c>
      <c r="S24" s="12">
        <f>ROUND(IF($R$24&lt;=0,0,$R$24*PersonalAPR/12),2)</f>
        <v>33.07</v>
      </c>
      <c r="T24" s="12">
        <f>ROUND(IF($R$24&lt;=0,0,MIN(PersonalMinPayment,$R$24+$S$24)),2)</f>
        <v>154.0</v>
      </c>
      <c r="U24" s="12">
        <f>ROUND(IF($R$24&lt;=0,0,MIN(MAX(0,$R$24+$S$24-$T$24),MAX(0,$AG$24-$F$24-$K$24-$P$24))),2)</f>
        <v>0.0</v>
      </c>
      <c r="V24" s="12">
        <f>ROUND(MAX(0,$R$24+$S$24-$T$24-$U$24),2)</f>
        <v>2820.52</v>
      </c>
      <c r="W24" s="12">
        <f>$AA$23</f>
        <v>1333.96</v>
      </c>
      <c r="X24" s="12">
        <f>ROUND(IF($W$24&lt;=0,0,$W$24*FurnitureAPR/12),2)</f>
        <v>11.11</v>
      </c>
      <c r="Y24" s="12">
        <f>ROUND(IF($W$24&lt;=0,0,MIN(FurnitureMinPayment,$W$24+$X$24)),2)</f>
        <v>72.0</v>
      </c>
      <c r="Z24" s="12">
        <f>ROUND(IF($W$24&lt;=0,0,MIN(MAX(0,$W$24+$X$24-$Y$24),MAX(0,$AG$24-$F$24-$K$24-$P$24-$U$24))),2)</f>
        <v>0.0</v>
      </c>
      <c r="AA24" s="12">
        <f>ROUND(MAX(0,$W$24+$X$24-$Y$24-$Z$24),2)</f>
        <v>1273.07</v>
      </c>
      <c r="AB24" s="12">
        <f>$AF$23</f>
        <v>3662.82</v>
      </c>
      <c r="AC24" s="12">
        <f>ROUND(IF($AB$24&lt;=0,0,$AB$24*AutoAPR/12),2)</f>
        <v>19.81</v>
      </c>
      <c r="AD24" s="12">
        <f>ROUND(IF($AB$24&lt;=0,0,MIN(AutoMinPayment,$AB$24+$AC$24)),2)</f>
        <v>194.0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3488.63</v>
      </c>
      <c r="AG24" s="12">
        <f>ROUND(ExtraPayment+IF($G$23&lt;=0,MedicalMinPayment,0)+IF($L$23&lt;=0,StoreMinPayment,0)+IF($Q$23&lt;=0,VisaMinPayment,0)+IF($V$23&lt;=0,PersonalMinPayment,0)+IF($AA$23&lt;=0,FurnitureMinPayment,0)+IF($AF$23&lt;=0,AutoMinPayment,0),2)</f>
        <v>310.0</v>
      </c>
      <c r="AH24" s="12">
        <f>ROUND(SUM($D$24,$I$24,$N$24,$S$24,$X$24,$AC$24),2)</f>
        <v>199.67</v>
      </c>
      <c r="AI24" s="12">
        <f>ROUND(SUM($G$24,$L$24,$Q$24,$V$24,$AA$24,$AF$24),2)</f>
        <v>13170.4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ROUND(IF($C$25&lt;=0,0,$C$25*MedicalAPR/12),2)</f>
        <v>0.0</v>
      </c>
      <c r="E25" s="12">
        <f>ROUND(IF($C$25&lt;=0,0,MIN(MedicalMinPayment,$C$25+$D$25)),2)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ROUND(IF($H$25&lt;=0,0,$H$25*StoreAPR/12),2)</f>
        <v>0.0</v>
      </c>
      <c r="J25" s="12">
        <f>ROUND(IF($H$25&lt;=0,0,MIN(StoreMinPayment,$H$25+$I$25)),2)</f>
        <v>0.0</v>
      </c>
      <c r="K25" s="12">
        <f>ROUND(IF($H$25&lt;=0,0,MIN(MAX(0,$H$25+$I$25-$J$25),MAX(0,$AG$25-$F$25))),2)</f>
        <v>0.0</v>
      </c>
      <c r="L25" s="12">
        <f>ROUND(MAX(0,$H$25+$I$25-$J$25-$K$25),2)</f>
        <v>0.0</v>
      </c>
      <c r="M25" s="12">
        <f>$Q$24</f>
        <v>5588.18</v>
      </c>
      <c r="N25" s="12">
        <f>ROUND(IF($M$25&lt;=0,0,$M$25*VisaAPR/12),2)</f>
        <v>125.69</v>
      </c>
      <c r="O25" s="12">
        <f>ROUND(IF($M$25&lt;=0,0,MIN(VisaMinPayment,$M$25+$N$25)),2)</f>
        <v>270.0</v>
      </c>
      <c r="P25" s="12">
        <f>ROUND(IF($M$25&lt;=0,0,MIN(MAX(0,$M$25+$N$25-$O$25),MAX(0,$AG$25-$F$25-$K$25))),2)</f>
        <v>310.0</v>
      </c>
      <c r="Q25" s="12">
        <f>ROUND(MAX(0,$M$25+$N$25-$O$25-$P$25),2)</f>
        <v>5133.87</v>
      </c>
      <c r="R25" s="12">
        <f>$V$24</f>
        <v>2820.52</v>
      </c>
      <c r="S25" s="12">
        <f>ROUND(IF($R$25&lt;=0,0,$R$25*PersonalAPR/12),2)</f>
        <v>31.71</v>
      </c>
      <c r="T25" s="12">
        <f>ROUND(IF($R$25&lt;=0,0,MIN(PersonalMinPayment,$R$25+$S$25)),2)</f>
        <v>154.0</v>
      </c>
      <c r="U25" s="12">
        <f>ROUND(IF($R$25&lt;=0,0,MIN(MAX(0,$R$25+$S$25-$T$25),MAX(0,$AG$25-$F$25-$K$25-$P$25))),2)</f>
        <v>0.0</v>
      </c>
      <c r="V25" s="12">
        <f>ROUND(MAX(0,$R$25+$S$25-$T$25-$U$25),2)</f>
        <v>2698.23</v>
      </c>
      <c r="W25" s="12">
        <f>$AA$24</f>
        <v>1273.07</v>
      </c>
      <c r="X25" s="12">
        <f>ROUND(IF($W$25&lt;=0,0,$W$25*FurnitureAPR/12),2)</f>
        <v>10.6</v>
      </c>
      <c r="Y25" s="12">
        <f>ROUND(IF($W$25&lt;=0,0,MIN(FurnitureMinPayment,$W$25+$X$25)),2)</f>
        <v>72.0</v>
      </c>
      <c r="Z25" s="12">
        <f>ROUND(IF($W$25&lt;=0,0,MIN(MAX(0,$W$25+$X$25-$Y$25),MAX(0,$AG$25-$F$25-$K$25-$P$25-$U$25))),2)</f>
        <v>0.0</v>
      </c>
      <c r="AA25" s="12">
        <f>ROUND(MAX(0,$W$25+$X$25-$Y$25-$Z$25),2)</f>
        <v>1211.67</v>
      </c>
      <c r="AB25" s="12">
        <f>$AF$24</f>
        <v>3488.63</v>
      </c>
      <c r="AC25" s="12">
        <f>ROUND(IF($AB$25&lt;=0,0,$AB$25*AutoAPR/12),2)</f>
        <v>18.87</v>
      </c>
      <c r="AD25" s="12">
        <f>ROUND(IF($AB$25&lt;=0,0,MIN(AutoMinPayment,$AB$25+$AC$25)),2)</f>
        <v>194.0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3313.5</v>
      </c>
      <c r="AG25" s="12">
        <f>ROUND(ExtraPayment+IF($G$24&lt;=0,MedicalMinPayment,0)+IF($L$24&lt;=0,StoreMinPayment,0)+IF($Q$24&lt;=0,VisaMinPayment,0)+IF($V$24&lt;=0,PersonalMinPayment,0)+IF($AA$24&lt;=0,FurnitureMinPayment,0)+IF($AF$24&lt;=0,AutoMinPayment,0),2)</f>
        <v>310.0</v>
      </c>
      <c r="AH25" s="12">
        <f>ROUND(SUM($D$25,$I$25,$N$25,$S$25,$X$25,$AC$25),2)</f>
        <v>186.87</v>
      </c>
      <c r="AI25" s="12">
        <f>ROUND(SUM($G$25,$L$25,$Q$25,$V$25,$AA$25,$AF$25),2)</f>
        <v>12357.27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ROUND(IF($C$26&lt;=0,0,$C$26*MedicalAPR/12),2)</f>
        <v>0.0</v>
      </c>
      <c r="E26" s="12">
        <f>ROUND(IF($C$26&lt;=0,0,MIN(MedicalMinPayment,$C$26+$D$26)),2)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ROUND(IF($H$26&lt;=0,0,$H$26*StoreAPR/12),2)</f>
        <v>0.0</v>
      </c>
      <c r="J26" s="12">
        <f>ROUND(IF($H$26&lt;=0,0,MIN(StoreMinPayment,$H$26+$I$26)),2)</f>
        <v>0.0</v>
      </c>
      <c r="K26" s="12">
        <f>ROUND(IF($H$26&lt;=0,0,MIN(MAX(0,$H$26+$I$26-$J$26),MAX(0,$AG$26-$F$26))),2)</f>
        <v>0.0</v>
      </c>
      <c r="L26" s="12">
        <f>ROUND(MAX(0,$H$26+$I$26-$J$26-$K$26),2)</f>
        <v>0.0</v>
      </c>
      <c r="M26" s="12">
        <f>$Q$25</f>
        <v>5133.87</v>
      </c>
      <c r="N26" s="12">
        <f>ROUND(IF($M$26&lt;=0,0,$M$26*VisaAPR/12),2)</f>
        <v>115.47</v>
      </c>
      <c r="O26" s="12">
        <f>ROUND(IF($M$26&lt;=0,0,MIN(VisaMinPayment,$M$26+$N$26)),2)</f>
        <v>270.0</v>
      </c>
      <c r="P26" s="12">
        <f>ROUND(IF($M$26&lt;=0,0,MIN(MAX(0,$M$26+$N$26-$O$26),MAX(0,$AG$26-$F$26-$K$26))),2)</f>
        <v>310.0</v>
      </c>
      <c r="Q26" s="12">
        <f>ROUND(MAX(0,$M$26+$N$26-$O$26-$P$26),2)</f>
        <v>4669.34</v>
      </c>
      <c r="R26" s="12">
        <f>$V$25</f>
        <v>2698.23</v>
      </c>
      <c r="S26" s="12">
        <f>ROUND(IF($R$26&lt;=0,0,$R$26*PersonalAPR/12),2)</f>
        <v>30.33</v>
      </c>
      <c r="T26" s="12">
        <f>ROUND(IF($R$26&lt;=0,0,MIN(PersonalMinPayment,$R$26+$S$26)),2)</f>
        <v>154.0</v>
      </c>
      <c r="U26" s="12">
        <f>ROUND(IF($R$26&lt;=0,0,MIN(MAX(0,$R$26+$S$26-$T$26),MAX(0,$AG$26-$F$26-$K$26-$P$26))),2)</f>
        <v>0.0</v>
      </c>
      <c r="V26" s="12">
        <f>ROUND(MAX(0,$R$26+$S$26-$T$26-$U$26),2)</f>
        <v>2574.56</v>
      </c>
      <c r="W26" s="12">
        <f>$AA$25</f>
        <v>1211.67</v>
      </c>
      <c r="X26" s="12">
        <f>ROUND(IF($W$26&lt;=0,0,$W$26*FurnitureAPR/12),2)</f>
        <v>10.09</v>
      </c>
      <c r="Y26" s="12">
        <f>ROUND(IF($W$26&lt;=0,0,MIN(FurnitureMinPayment,$W$26+$X$26)),2)</f>
        <v>72.0</v>
      </c>
      <c r="Z26" s="12">
        <f>ROUND(IF($W$26&lt;=0,0,MIN(MAX(0,$W$26+$X$26-$Y$26),MAX(0,$AG$26-$F$26-$K$26-$P$26-$U$26))),2)</f>
        <v>0.0</v>
      </c>
      <c r="AA26" s="12">
        <f>ROUND(MAX(0,$W$26+$X$26-$Y$26-$Z$26),2)</f>
        <v>1149.76</v>
      </c>
      <c r="AB26" s="12">
        <f>$AF$25</f>
        <v>3313.5</v>
      </c>
      <c r="AC26" s="12">
        <f>ROUND(IF($AB$26&lt;=0,0,$AB$26*AutoAPR/12),2)</f>
        <v>17.92</v>
      </c>
      <c r="AD26" s="12">
        <f>ROUND(IF($AB$26&lt;=0,0,MIN(AutoMinPayment,$AB$26+$AC$26)),2)</f>
        <v>194.0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3137.42</v>
      </c>
      <c r="AG26" s="12">
        <f>ROUND(ExtraPayment+IF($G$25&lt;=0,MedicalMinPayment,0)+IF($L$25&lt;=0,StoreMinPayment,0)+IF($Q$25&lt;=0,VisaMinPayment,0)+IF($V$25&lt;=0,PersonalMinPayment,0)+IF($AA$25&lt;=0,FurnitureMinPayment,0)+IF($AF$25&lt;=0,AutoMinPayment,0),2)</f>
        <v>310.0</v>
      </c>
      <c r="AH26" s="12">
        <f>ROUND(SUM($D$26,$I$26,$N$26,$S$26,$X$26,$AC$26),2)</f>
        <v>173.81</v>
      </c>
      <c r="AI26" s="12">
        <f>ROUND(SUM($G$26,$L$26,$Q$26,$V$26,$AA$26,$AF$26),2)</f>
        <v>11531.08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ROUND(IF($C$27&lt;=0,0,$C$27*MedicalAPR/12),2)</f>
        <v>0.0</v>
      </c>
      <c r="E27" s="12">
        <f>ROUND(IF($C$27&lt;=0,0,MIN(MedicalMinPayment,$C$27+$D$27)),2)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ROUND(IF($H$27&lt;=0,0,$H$27*StoreAPR/12),2)</f>
        <v>0.0</v>
      </c>
      <c r="J27" s="12">
        <f>ROUND(IF($H$27&lt;=0,0,MIN(StoreMinPayment,$H$27+$I$27)),2)</f>
        <v>0.0</v>
      </c>
      <c r="K27" s="12">
        <f>ROUND(IF($H$27&lt;=0,0,MIN(MAX(0,$H$27+$I$27-$J$27),MAX(0,$AG$27-$F$27))),2)</f>
        <v>0.0</v>
      </c>
      <c r="L27" s="12">
        <f>ROUND(MAX(0,$H$27+$I$27-$J$27-$K$27),2)</f>
        <v>0.0</v>
      </c>
      <c r="M27" s="12">
        <f>$Q$26</f>
        <v>4669.34</v>
      </c>
      <c r="N27" s="12">
        <f>ROUND(IF($M$27&lt;=0,0,$M$27*VisaAPR/12),2)</f>
        <v>105.02</v>
      </c>
      <c r="O27" s="12">
        <f>ROUND(IF($M$27&lt;=0,0,MIN(VisaMinPayment,$M$27+$N$27)),2)</f>
        <v>270.0</v>
      </c>
      <c r="P27" s="12">
        <f>ROUND(IF($M$27&lt;=0,0,MIN(MAX(0,$M$27+$N$27-$O$27),MAX(0,$AG$27-$F$27-$K$27))),2)</f>
        <v>310.0</v>
      </c>
      <c r="Q27" s="12">
        <f>ROUND(MAX(0,$M$27+$N$27-$O$27-$P$27),2)</f>
        <v>4194.36</v>
      </c>
      <c r="R27" s="12">
        <f>$V$26</f>
        <v>2574.56</v>
      </c>
      <c r="S27" s="12">
        <f>ROUND(IF($R$27&lt;=0,0,$R$27*PersonalAPR/12),2)</f>
        <v>28.94</v>
      </c>
      <c r="T27" s="12">
        <f>ROUND(IF($R$27&lt;=0,0,MIN(PersonalMinPayment,$R$27+$S$27)),2)</f>
        <v>154.0</v>
      </c>
      <c r="U27" s="12">
        <f>ROUND(IF($R$27&lt;=0,0,MIN(MAX(0,$R$27+$S$27-$T$27),MAX(0,$AG$27-$F$27-$K$27-$P$27))),2)</f>
        <v>0.0</v>
      </c>
      <c r="V27" s="12">
        <f>ROUND(MAX(0,$R$27+$S$27-$T$27-$U$27),2)</f>
        <v>2449.5</v>
      </c>
      <c r="W27" s="12">
        <f>$AA$26</f>
        <v>1149.76</v>
      </c>
      <c r="X27" s="12">
        <f>ROUND(IF($W$27&lt;=0,0,$W$27*FurnitureAPR/12),2)</f>
        <v>9.57</v>
      </c>
      <c r="Y27" s="12">
        <f>ROUND(IF($W$27&lt;=0,0,MIN(FurnitureMinPayment,$W$27+$X$27)),2)</f>
        <v>72.0</v>
      </c>
      <c r="Z27" s="12">
        <f>ROUND(IF($W$27&lt;=0,0,MIN(MAX(0,$W$27+$X$27-$Y$27),MAX(0,$AG$27-$F$27-$K$27-$P$27-$U$27))),2)</f>
        <v>0.0</v>
      </c>
      <c r="AA27" s="12">
        <f>ROUND(MAX(0,$W$27+$X$27-$Y$27-$Z$27),2)</f>
        <v>1087.33</v>
      </c>
      <c r="AB27" s="12">
        <f>$AF$26</f>
        <v>3137.42</v>
      </c>
      <c r="AC27" s="12">
        <f>ROUND(IF($AB$27&lt;=0,0,$AB$27*AutoAPR/12),2)</f>
        <v>16.97</v>
      </c>
      <c r="AD27" s="12">
        <f>ROUND(IF($AB$27&lt;=0,0,MIN(AutoMinPayment,$AB$27+$AC$27)),2)</f>
        <v>194.0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2960.39</v>
      </c>
      <c r="AG27" s="12">
        <f>ROUND(ExtraPayment+IF($G$26&lt;=0,MedicalMinPayment,0)+IF($L$26&lt;=0,StoreMinPayment,0)+IF($Q$26&lt;=0,VisaMinPayment,0)+IF($V$26&lt;=0,PersonalMinPayment,0)+IF($AA$26&lt;=0,FurnitureMinPayment,0)+IF($AF$26&lt;=0,AutoMinPayment,0),2)</f>
        <v>310.0</v>
      </c>
      <c r="AH27" s="12">
        <f>ROUND(SUM($D$27,$I$27,$N$27,$S$27,$X$27,$AC$27),2)</f>
        <v>160.5</v>
      </c>
      <c r="AI27" s="12">
        <f>ROUND(SUM($G$27,$L$27,$Q$27,$V$27,$AA$27,$AF$27),2)</f>
        <v>10691.58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ROUND(IF($C$28&lt;=0,0,$C$28*MedicalAPR/12),2)</f>
        <v>0.0</v>
      </c>
      <c r="E28" s="12">
        <f>ROUND(IF($C$28&lt;=0,0,MIN(MedicalMinPayment,$C$28+$D$28)),2)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ROUND(IF($H$28&lt;=0,0,$H$28*StoreAPR/12),2)</f>
        <v>0.0</v>
      </c>
      <c r="J28" s="12">
        <f>ROUND(IF($H$28&lt;=0,0,MIN(StoreMinPayment,$H$28+$I$28)),2)</f>
        <v>0.0</v>
      </c>
      <c r="K28" s="12">
        <f>ROUND(IF($H$28&lt;=0,0,MIN(MAX(0,$H$28+$I$28-$J$28),MAX(0,$AG$28-$F$28))),2)</f>
        <v>0.0</v>
      </c>
      <c r="L28" s="12">
        <f>ROUND(MAX(0,$H$28+$I$28-$J$28-$K$28),2)</f>
        <v>0.0</v>
      </c>
      <c r="M28" s="12">
        <f>$Q$27</f>
        <v>4194.36</v>
      </c>
      <c r="N28" s="12">
        <f>ROUND(IF($M$28&lt;=0,0,$M$28*VisaAPR/12),2)</f>
        <v>94.34</v>
      </c>
      <c r="O28" s="12">
        <f>ROUND(IF($M$28&lt;=0,0,MIN(VisaMinPayment,$M$28+$N$28)),2)</f>
        <v>270.0</v>
      </c>
      <c r="P28" s="12">
        <f>ROUND(IF($M$28&lt;=0,0,MIN(MAX(0,$M$28+$N$28-$O$28),MAX(0,$AG$28-$F$28-$K$28))),2)</f>
        <v>310.0</v>
      </c>
      <c r="Q28" s="12">
        <f>ROUND(MAX(0,$M$28+$N$28-$O$28-$P$28),2)</f>
        <v>3708.7</v>
      </c>
      <c r="R28" s="12">
        <f>$V$27</f>
        <v>2449.5</v>
      </c>
      <c r="S28" s="12">
        <f>ROUND(IF($R$28&lt;=0,0,$R$28*PersonalAPR/12),2)</f>
        <v>27.54</v>
      </c>
      <c r="T28" s="12">
        <f>ROUND(IF($R$28&lt;=0,0,MIN(PersonalMinPayment,$R$28+$S$28)),2)</f>
        <v>154.0</v>
      </c>
      <c r="U28" s="12">
        <f>ROUND(IF($R$28&lt;=0,0,MIN(MAX(0,$R$28+$S$28-$T$28),MAX(0,$AG$28-$F$28-$K$28-$P$28))),2)</f>
        <v>0.0</v>
      </c>
      <c r="V28" s="12">
        <f>ROUND(MAX(0,$R$28+$S$28-$T$28-$U$28),2)</f>
        <v>2323.04</v>
      </c>
      <c r="W28" s="12">
        <f>$AA$27</f>
        <v>1087.33</v>
      </c>
      <c r="X28" s="12">
        <f>ROUND(IF($W$28&lt;=0,0,$W$28*FurnitureAPR/12),2)</f>
        <v>9.05</v>
      </c>
      <c r="Y28" s="12">
        <f>ROUND(IF($W$28&lt;=0,0,MIN(FurnitureMinPayment,$W$28+$X$28)),2)</f>
        <v>72.0</v>
      </c>
      <c r="Z28" s="12">
        <f>ROUND(IF($W$28&lt;=0,0,MIN(MAX(0,$W$28+$X$28-$Y$28),MAX(0,$AG$28-$F$28-$K$28-$P$28-$U$28))),2)</f>
        <v>0.0</v>
      </c>
      <c r="AA28" s="12">
        <f>ROUND(MAX(0,$W$28+$X$28-$Y$28-$Z$28),2)</f>
        <v>1024.38</v>
      </c>
      <c r="AB28" s="12">
        <f>$AF$27</f>
        <v>2960.39</v>
      </c>
      <c r="AC28" s="12">
        <f>ROUND(IF($AB$28&lt;=0,0,$AB$28*AutoAPR/12),2)</f>
        <v>16.01</v>
      </c>
      <c r="AD28" s="12">
        <f>ROUND(IF($AB$28&lt;=0,0,MIN(AutoMinPayment,$AB$28+$AC$28)),2)</f>
        <v>194.0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2782.4</v>
      </c>
      <c r="AG28" s="12">
        <f>ROUND(ExtraPayment+IF($G$27&lt;=0,MedicalMinPayment,0)+IF($L$27&lt;=0,StoreMinPayment,0)+IF($Q$27&lt;=0,VisaMinPayment,0)+IF($V$27&lt;=0,PersonalMinPayment,0)+IF($AA$27&lt;=0,FurnitureMinPayment,0)+IF($AF$27&lt;=0,AutoMinPayment,0),2)</f>
        <v>310.0</v>
      </c>
      <c r="AH28" s="12">
        <f>ROUND(SUM($D$28,$I$28,$N$28,$S$28,$X$28,$AC$28),2)</f>
        <v>146.94</v>
      </c>
      <c r="AI28" s="12">
        <f>ROUND(SUM($G$28,$L$28,$Q$28,$V$28,$AA$28,$AF$28),2)</f>
        <v>9838.52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ROUND(IF($C$29&lt;=0,0,$C$29*MedicalAPR/12),2)</f>
        <v>0.0</v>
      </c>
      <c r="E29" s="12">
        <f>ROUND(IF($C$29&lt;=0,0,MIN(MedicalMinPayment,$C$29+$D$29)),2)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ROUND(IF($H$29&lt;=0,0,$H$29*StoreAPR/12),2)</f>
        <v>0.0</v>
      </c>
      <c r="J29" s="12">
        <f>ROUND(IF($H$29&lt;=0,0,MIN(StoreMinPayment,$H$29+$I$29)),2)</f>
        <v>0.0</v>
      </c>
      <c r="K29" s="12">
        <f>ROUND(IF($H$29&lt;=0,0,MIN(MAX(0,$H$29+$I$29-$J$29),MAX(0,$AG$29-$F$29))),2)</f>
        <v>0.0</v>
      </c>
      <c r="L29" s="12">
        <f>ROUND(MAX(0,$H$29+$I$29-$J$29-$K$29),2)</f>
        <v>0.0</v>
      </c>
      <c r="M29" s="12">
        <f>$Q$28</f>
        <v>3708.7</v>
      </c>
      <c r="N29" s="12">
        <f>ROUND(IF($M$29&lt;=0,0,$M$29*VisaAPR/12),2)</f>
        <v>83.41</v>
      </c>
      <c r="O29" s="12">
        <f>ROUND(IF($M$29&lt;=0,0,MIN(VisaMinPayment,$M$29+$N$29)),2)</f>
        <v>270.0</v>
      </c>
      <c r="P29" s="12">
        <f>ROUND(IF($M$29&lt;=0,0,MIN(MAX(0,$M$29+$N$29-$O$29),MAX(0,$AG$29-$F$29-$K$29))),2)</f>
        <v>310.0</v>
      </c>
      <c r="Q29" s="12">
        <f>ROUND(MAX(0,$M$29+$N$29-$O$29-$P$29),2)</f>
        <v>3212.11</v>
      </c>
      <c r="R29" s="12">
        <f>$V$28</f>
        <v>2323.04</v>
      </c>
      <c r="S29" s="12">
        <f>ROUND(IF($R$29&lt;=0,0,$R$29*PersonalAPR/12),2)</f>
        <v>26.11</v>
      </c>
      <c r="T29" s="12">
        <f>ROUND(IF($R$29&lt;=0,0,MIN(PersonalMinPayment,$R$29+$S$29)),2)</f>
        <v>154.0</v>
      </c>
      <c r="U29" s="12">
        <f>ROUND(IF($R$29&lt;=0,0,MIN(MAX(0,$R$29+$S$29-$T$29),MAX(0,$AG$29-$F$29-$K$29-$P$29))),2)</f>
        <v>0.0</v>
      </c>
      <c r="V29" s="12">
        <f>ROUND(MAX(0,$R$29+$S$29-$T$29-$U$29),2)</f>
        <v>2195.15</v>
      </c>
      <c r="W29" s="12">
        <f>$AA$28</f>
        <v>1024.38</v>
      </c>
      <c r="X29" s="12">
        <f>ROUND(IF($W$29&lt;=0,0,$W$29*FurnitureAPR/12),2)</f>
        <v>8.53</v>
      </c>
      <c r="Y29" s="12">
        <f>ROUND(IF($W$29&lt;=0,0,MIN(FurnitureMinPayment,$W$29+$X$29)),2)</f>
        <v>72.0</v>
      </c>
      <c r="Z29" s="12">
        <f>ROUND(IF($W$29&lt;=0,0,MIN(MAX(0,$W$29+$X$29-$Y$29),MAX(0,$AG$29-$F$29-$K$29-$P$29-$U$29))),2)</f>
        <v>0.0</v>
      </c>
      <c r="AA29" s="12">
        <f>ROUND(MAX(0,$W$29+$X$29-$Y$29-$Z$29),2)</f>
        <v>960.91</v>
      </c>
      <c r="AB29" s="12">
        <f>$AF$28</f>
        <v>2782.4</v>
      </c>
      <c r="AC29" s="12">
        <f>ROUND(IF($AB$29&lt;=0,0,$AB$29*AutoAPR/12),2)</f>
        <v>15.05</v>
      </c>
      <c r="AD29" s="12">
        <f>ROUND(IF($AB$29&lt;=0,0,MIN(AutoMinPayment,$AB$29+$AC$29)),2)</f>
        <v>194.0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2603.45</v>
      </c>
      <c r="AG29" s="12">
        <f>ROUND(ExtraPayment+IF($G$28&lt;=0,MedicalMinPayment,0)+IF($L$28&lt;=0,StoreMinPayment,0)+IF($Q$28&lt;=0,VisaMinPayment,0)+IF($V$28&lt;=0,PersonalMinPayment,0)+IF($AA$28&lt;=0,FurnitureMinPayment,0)+IF($AF$28&lt;=0,AutoMinPayment,0),2)</f>
        <v>310.0</v>
      </c>
      <c r="AH29" s="12">
        <f>ROUND(SUM($D$29,$I$29,$N$29,$S$29,$X$29,$AC$29),2)</f>
        <v>133.1</v>
      </c>
      <c r="AI29" s="12">
        <f>ROUND(SUM($G$29,$L$29,$Q$29,$V$29,$AA$29,$AF$29),2)</f>
        <v>8971.62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ROUND(IF($C$30&lt;=0,0,$C$30*MedicalAPR/12),2)</f>
        <v>0.0</v>
      </c>
      <c r="E30" s="12">
        <f>ROUND(IF($C$30&lt;=0,0,MIN(MedicalMinPayment,$C$30+$D$30)),2)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ROUND(IF($H$30&lt;=0,0,$H$30*StoreAPR/12),2)</f>
        <v>0.0</v>
      </c>
      <c r="J30" s="12">
        <f>ROUND(IF($H$30&lt;=0,0,MIN(StoreMinPayment,$H$30+$I$30)),2)</f>
        <v>0.0</v>
      </c>
      <c r="K30" s="12">
        <f>ROUND(IF($H$30&lt;=0,0,MIN(MAX(0,$H$30+$I$30-$J$30),MAX(0,$AG$30-$F$30))),2)</f>
        <v>0.0</v>
      </c>
      <c r="L30" s="12">
        <f>ROUND(MAX(0,$H$30+$I$30-$J$30-$K$30),2)</f>
        <v>0.0</v>
      </c>
      <c r="M30" s="12">
        <f>$Q$29</f>
        <v>3212.11</v>
      </c>
      <c r="N30" s="12">
        <f>ROUND(IF($M$30&lt;=0,0,$M$30*VisaAPR/12),2)</f>
        <v>72.25</v>
      </c>
      <c r="O30" s="12">
        <f>ROUND(IF($M$30&lt;=0,0,MIN(VisaMinPayment,$M$30+$N$30)),2)</f>
        <v>270.0</v>
      </c>
      <c r="P30" s="12">
        <f>ROUND(IF($M$30&lt;=0,0,MIN(MAX(0,$M$30+$N$30-$O$30),MAX(0,$AG$30-$F$30-$K$30))),2)</f>
        <v>310.0</v>
      </c>
      <c r="Q30" s="12">
        <f>ROUND(MAX(0,$M$30+$N$30-$O$30-$P$30),2)</f>
        <v>2704.36</v>
      </c>
      <c r="R30" s="12">
        <f>$V$29</f>
        <v>2195.15</v>
      </c>
      <c r="S30" s="12">
        <f>ROUND(IF($R$30&lt;=0,0,$R$30*PersonalAPR/12),2)</f>
        <v>24.68</v>
      </c>
      <c r="T30" s="12">
        <f>ROUND(IF($R$30&lt;=0,0,MIN(PersonalMinPayment,$R$30+$S$30)),2)</f>
        <v>154.0</v>
      </c>
      <c r="U30" s="12">
        <f>ROUND(IF($R$30&lt;=0,0,MIN(MAX(0,$R$30+$S$30-$T$30),MAX(0,$AG$30-$F$30-$K$30-$P$30))),2)</f>
        <v>0.0</v>
      </c>
      <c r="V30" s="12">
        <f>ROUND(MAX(0,$R$30+$S$30-$T$30-$U$30),2)</f>
        <v>2065.83</v>
      </c>
      <c r="W30" s="12">
        <f>$AA$29</f>
        <v>960.91</v>
      </c>
      <c r="X30" s="12">
        <f>ROUND(IF($W$30&lt;=0,0,$W$30*FurnitureAPR/12),2)</f>
        <v>8.0</v>
      </c>
      <c r="Y30" s="12">
        <f>ROUND(IF($W$30&lt;=0,0,MIN(FurnitureMinPayment,$W$30+$X$30)),2)</f>
        <v>72.0</v>
      </c>
      <c r="Z30" s="12">
        <f>ROUND(IF($W$30&lt;=0,0,MIN(MAX(0,$W$30+$X$30-$Y$30),MAX(0,$AG$30-$F$30-$K$30-$P$30-$U$30))),2)</f>
        <v>0.0</v>
      </c>
      <c r="AA30" s="12">
        <f>ROUND(MAX(0,$W$30+$X$30-$Y$30-$Z$30),2)</f>
        <v>896.91</v>
      </c>
      <c r="AB30" s="12">
        <f>$AF$29</f>
        <v>2603.45</v>
      </c>
      <c r="AC30" s="12">
        <f>ROUND(IF($AB$30&lt;=0,0,$AB$30*AutoAPR/12),2)</f>
        <v>14.08</v>
      </c>
      <c r="AD30" s="12">
        <f>ROUND(IF($AB$30&lt;=0,0,MIN(AutoMinPayment,$AB$30+$AC$30)),2)</f>
        <v>194.0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2423.53</v>
      </c>
      <c r="AG30" s="12">
        <f>ROUND(ExtraPayment+IF($G$29&lt;=0,MedicalMinPayment,0)+IF($L$29&lt;=0,StoreMinPayment,0)+IF($Q$29&lt;=0,VisaMinPayment,0)+IF($V$29&lt;=0,PersonalMinPayment,0)+IF($AA$29&lt;=0,FurnitureMinPayment,0)+IF($AF$29&lt;=0,AutoMinPayment,0),2)</f>
        <v>310.0</v>
      </c>
      <c r="AH30" s="12">
        <f>ROUND(SUM($D$30,$I$30,$N$30,$S$30,$X$30,$AC$30),2)</f>
        <v>119.01</v>
      </c>
      <c r="AI30" s="12">
        <f>ROUND(SUM($G$30,$L$30,$Q$30,$V$30,$AA$30,$AF$30),2)</f>
        <v>8090.63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ROUND(IF($C$31&lt;=0,0,$C$31*MedicalAPR/12),2)</f>
        <v>0.0</v>
      </c>
      <c r="E31" s="12">
        <f>ROUND(IF($C$31&lt;=0,0,MIN(MedicalMinPayment,$C$31+$D$31)),2)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ROUND(IF($H$31&lt;=0,0,$H$31*StoreAPR/12),2)</f>
        <v>0.0</v>
      </c>
      <c r="J31" s="12">
        <f>ROUND(IF($H$31&lt;=0,0,MIN(StoreMinPayment,$H$31+$I$31)),2)</f>
        <v>0.0</v>
      </c>
      <c r="K31" s="12">
        <f>ROUND(IF($H$31&lt;=0,0,MIN(MAX(0,$H$31+$I$31-$J$31),MAX(0,$AG$31-$F$31))),2)</f>
        <v>0.0</v>
      </c>
      <c r="L31" s="12">
        <f>ROUND(MAX(0,$H$31+$I$31-$J$31-$K$31),2)</f>
        <v>0.0</v>
      </c>
      <c r="M31" s="12">
        <f>$Q$30</f>
        <v>2704.36</v>
      </c>
      <c r="N31" s="12">
        <f>ROUND(IF($M$31&lt;=0,0,$M$31*VisaAPR/12),2)</f>
        <v>60.83</v>
      </c>
      <c r="O31" s="12">
        <f>ROUND(IF($M$31&lt;=0,0,MIN(VisaMinPayment,$M$31+$N$31)),2)</f>
        <v>270.0</v>
      </c>
      <c r="P31" s="12">
        <f>ROUND(IF($M$31&lt;=0,0,MIN(MAX(0,$M$31+$N$31-$O$31),MAX(0,$AG$31-$F$31-$K$31))),2)</f>
        <v>310.0</v>
      </c>
      <c r="Q31" s="12">
        <f>ROUND(MAX(0,$M$31+$N$31-$O$31-$P$31),2)</f>
        <v>2185.19</v>
      </c>
      <c r="R31" s="12">
        <f>$V$30</f>
        <v>2065.83</v>
      </c>
      <c r="S31" s="12">
        <f>ROUND(IF($R$31&lt;=0,0,$R$31*PersonalAPR/12),2)</f>
        <v>23.22</v>
      </c>
      <c r="T31" s="12">
        <f>ROUND(IF($R$31&lt;=0,0,MIN(PersonalMinPayment,$R$31+$S$31)),2)</f>
        <v>154.0</v>
      </c>
      <c r="U31" s="12">
        <f>ROUND(IF($R$31&lt;=0,0,MIN(MAX(0,$R$31+$S$31-$T$31),MAX(0,$AG$31-$F$31-$K$31-$P$31))),2)</f>
        <v>0.0</v>
      </c>
      <c r="V31" s="12">
        <f>ROUND(MAX(0,$R$31+$S$31-$T$31-$U$31),2)</f>
        <v>1935.05</v>
      </c>
      <c r="W31" s="12">
        <f>$AA$30</f>
        <v>896.91</v>
      </c>
      <c r="X31" s="12">
        <f>ROUND(IF($W$31&lt;=0,0,$W$31*FurnitureAPR/12),2)</f>
        <v>7.47</v>
      </c>
      <c r="Y31" s="12">
        <f>ROUND(IF($W$31&lt;=0,0,MIN(FurnitureMinPayment,$W$31+$X$31)),2)</f>
        <v>72.0</v>
      </c>
      <c r="Z31" s="12">
        <f>ROUND(IF($W$31&lt;=0,0,MIN(MAX(0,$W$31+$X$31-$Y$31),MAX(0,$AG$31-$F$31-$K$31-$P$31-$U$31))),2)</f>
        <v>0.0</v>
      </c>
      <c r="AA31" s="12">
        <f>ROUND(MAX(0,$W$31+$X$31-$Y$31-$Z$31),2)</f>
        <v>832.38</v>
      </c>
      <c r="AB31" s="12">
        <f>$AF$30</f>
        <v>2423.53</v>
      </c>
      <c r="AC31" s="12">
        <f>ROUND(IF($AB$31&lt;=0,0,$AB$31*AutoAPR/12),2)</f>
        <v>13.11</v>
      </c>
      <c r="AD31" s="12">
        <f>ROUND(IF($AB$31&lt;=0,0,MIN(AutoMinPayment,$AB$31+$AC$31)),2)</f>
        <v>194.0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2242.64</v>
      </c>
      <c r="AG31" s="12">
        <f>ROUND(ExtraPayment+IF($G$30&lt;=0,MedicalMinPayment,0)+IF($L$30&lt;=0,StoreMinPayment,0)+IF($Q$30&lt;=0,VisaMinPayment,0)+IF($V$30&lt;=0,PersonalMinPayment,0)+IF($AA$30&lt;=0,FurnitureMinPayment,0)+IF($AF$30&lt;=0,AutoMinPayment,0),2)</f>
        <v>310.0</v>
      </c>
      <c r="AH31" s="12">
        <f>ROUND(SUM($D$31,$I$31,$N$31,$S$31,$X$31,$AC$31),2)</f>
        <v>104.63</v>
      </c>
      <c r="AI31" s="12">
        <f>ROUND(SUM($G$31,$L$31,$Q$31,$V$31,$AA$31,$AF$31),2)</f>
        <v>7195.26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ROUND(IF($C$32&lt;=0,0,$C$32*MedicalAPR/12),2)</f>
        <v>0.0</v>
      </c>
      <c r="E32" s="12">
        <f>ROUND(IF($C$32&lt;=0,0,MIN(MedicalMinPayment,$C$32+$D$32)),2)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ROUND(IF($H$32&lt;=0,0,$H$32*StoreAPR/12),2)</f>
        <v>0.0</v>
      </c>
      <c r="J32" s="12">
        <f>ROUND(IF($H$32&lt;=0,0,MIN(StoreMinPayment,$H$32+$I$32)),2)</f>
        <v>0.0</v>
      </c>
      <c r="K32" s="12">
        <f>ROUND(IF($H$32&lt;=0,0,MIN(MAX(0,$H$32+$I$32-$J$32),MAX(0,$AG$32-$F$32))),2)</f>
        <v>0.0</v>
      </c>
      <c r="L32" s="12">
        <f>ROUND(MAX(0,$H$32+$I$32-$J$32-$K$32),2)</f>
        <v>0.0</v>
      </c>
      <c r="M32" s="12">
        <f>$Q$31</f>
        <v>2185.19</v>
      </c>
      <c r="N32" s="12">
        <f>ROUND(IF($M$32&lt;=0,0,$M$32*VisaAPR/12),2)</f>
        <v>49.15</v>
      </c>
      <c r="O32" s="12">
        <f>ROUND(IF($M$32&lt;=0,0,MIN(VisaMinPayment,$M$32+$N$32)),2)</f>
        <v>270.0</v>
      </c>
      <c r="P32" s="12">
        <f>ROUND(IF($M$32&lt;=0,0,MIN(MAX(0,$M$32+$N$32-$O$32),MAX(0,$AG$32-$F$32-$K$32))),2)</f>
        <v>310.0</v>
      </c>
      <c r="Q32" s="12">
        <f>ROUND(MAX(0,$M$32+$N$32-$O$32-$P$32),2)</f>
        <v>1654.34</v>
      </c>
      <c r="R32" s="12">
        <f>$V$31</f>
        <v>1935.05</v>
      </c>
      <c r="S32" s="12">
        <f>ROUND(IF($R$32&lt;=0,0,$R$32*PersonalAPR/12),2)</f>
        <v>21.75</v>
      </c>
      <c r="T32" s="12">
        <f>ROUND(IF($R$32&lt;=0,0,MIN(PersonalMinPayment,$R$32+$S$32)),2)</f>
        <v>154.0</v>
      </c>
      <c r="U32" s="12">
        <f>ROUND(IF($R$32&lt;=0,0,MIN(MAX(0,$R$32+$S$32-$T$32),MAX(0,$AG$32-$F$32-$K$32-$P$32))),2)</f>
        <v>0.0</v>
      </c>
      <c r="V32" s="12">
        <f>ROUND(MAX(0,$R$32+$S$32-$T$32-$U$32),2)</f>
        <v>1802.8</v>
      </c>
      <c r="W32" s="12">
        <f>$AA$31</f>
        <v>832.38</v>
      </c>
      <c r="X32" s="12">
        <f>ROUND(IF($W$32&lt;=0,0,$W$32*FurnitureAPR/12),2)</f>
        <v>6.93</v>
      </c>
      <c r="Y32" s="12">
        <f>ROUND(IF($W$32&lt;=0,0,MIN(FurnitureMinPayment,$W$32+$X$32)),2)</f>
        <v>72.0</v>
      </c>
      <c r="Z32" s="12">
        <f>ROUND(IF($W$32&lt;=0,0,MIN(MAX(0,$W$32+$X$32-$Y$32),MAX(0,$AG$32-$F$32-$K$32-$P$32-$U$32))),2)</f>
        <v>0.0</v>
      </c>
      <c r="AA32" s="12">
        <f>ROUND(MAX(0,$W$32+$X$32-$Y$32-$Z$32),2)</f>
        <v>767.31</v>
      </c>
      <c r="AB32" s="12">
        <f>$AF$31</f>
        <v>2242.64</v>
      </c>
      <c r="AC32" s="12">
        <f>ROUND(IF($AB$32&lt;=0,0,$AB$32*AutoAPR/12),2)</f>
        <v>12.13</v>
      </c>
      <c r="AD32" s="12">
        <f>ROUND(IF($AB$32&lt;=0,0,MIN(AutoMinPayment,$AB$32+$AC$32)),2)</f>
        <v>194.0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2060.77</v>
      </c>
      <c r="AG32" s="12">
        <f>ROUND(ExtraPayment+IF($G$31&lt;=0,MedicalMinPayment,0)+IF($L$31&lt;=0,StoreMinPayment,0)+IF($Q$31&lt;=0,VisaMinPayment,0)+IF($V$31&lt;=0,PersonalMinPayment,0)+IF($AA$31&lt;=0,FurnitureMinPayment,0)+IF($AF$31&lt;=0,AutoMinPayment,0),2)</f>
        <v>310.0</v>
      </c>
      <c r="AH32" s="12">
        <f>ROUND(SUM($D$32,$I$32,$N$32,$S$32,$X$32,$AC$32),2)</f>
        <v>89.96</v>
      </c>
      <c r="AI32" s="12">
        <f>ROUND(SUM($G$32,$L$32,$Q$32,$V$32,$AA$32,$AF$32),2)</f>
        <v>6285.22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ROUND(IF($C$33&lt;=0,0,$C$33*MedicalAPR/12),2)</f>
        <v>0.0</v>
      </c>
      <c r="E33" s="12">
        <f>ROUND(IF($C$33&lt;=0,0,MIN(MedicalMinPayment,$C$33+$D$33)),2)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ROUND(IF($H$33&lt;=0,0,$H$33*StoreAPR/12),2)</f>
        <v>0.0</v>
      </c>
      <c r="J33" s="12">
        <f>ROUND(IF($H$33&lt;=0,0,MIN(StoreMinPayment,$H$33+$I$33)),2)</f>
        <v>0.0</v>
      </c>
      <c r="K33" s="12">
        <f>ROUND(IF($H$33&lt;=0,0,MIN(MAX(0,$H$33+$I$33-$J$33),MAX(0,$AG$33-$F$33))),2)</f>
        <v>0.0</v>
      </c>
      <c r="L33" s="12">
        <f>ROUND(MAX(0,$H$33+$I$33-$J$33-$K$33),2)</f>
        <v>0.0</v>
      </c>
      <c r="M33" s="12">
        <f>$Q$32</f>
        <v>1654.34</v>
      </c>
      <c r="N33" s="12">
        <f>ROUND(IF($M$33&lt;=0,0,$M$33*VisaAPR/12),2)</f>
        <v>37.21</v>
      </c>
      <c r="O33" s="12">
        <f>ROUND(IF($M$33&lt;=0,0,MIN(VisaMinPayment,$M$33+$N$33)),2)</f>
        <v>270.0</v>
      </c>
      <c r="P33" s="12">
        <f>ROUND(IF($M$33&lt;=0,0,MIN(MAX(0,$M$33+$N$33-$O$33),MAX(0,$AG$33-$F$33-$K$33))),2)</f>
        <v>310.0</v>
      </c>
      <c r="Q33" s="12">
        <f>ROUND(MAX(0,$M$33+$N$33-$O$33-$P$33),2)</f>
        <v>1111.55</v>
      </c>
      <c r="R33" s="12">
        <f>$V$32</f>
        <v>1802.8</v>
      </c>
      <c r="S33" s="12">
        <f>ROUND(IF($R$33&lt;=0,0,$R$33*PersonalAPR/12),2)</f>
        <v>20.27</v>
      </c>
      <c r="T33" s="12">
        <f>ROUND(IF($R$33&lt;=0,0,MIN(PersonalMinPayment,$R$33+$S$33)),2)</f>
        <v>154.0</v>
      </c>
      <c r="U33" s="12">
        <f>ROUND(IF($R$33&lt;=0,0,MIN(MAX(0,$R$33+$S$33-$T$33),MAX(0,$AG$33-$F$33-$K$33-$P$33))),2)</f>
        <v>0.0</v>
      </c>
      <c r="V33" s="12">
        <f>ROUND(MAX(0,$R$33+$S$33-$T$33-$U$33),2)</f>
        <v>1669.07</v>
      </c>
      <c r="W33" s="12">
        <f>$AA$32</f>
        <v>767.31</v>
      </c>
      <c r="X33" s="12">
        <f>ROUND(IF($W$33&lt;=0,0,$W$33*FurnitureAPR/12),2)</f>
        <v>6.39</v>
      </c>
      <c r="Y33" s="12">
        <f>ROUND(IF($W$33&lt;=0,0,MIN(FurnitureMinPayment,$W$33+$X$33)),2)</f>
        <v>72.0</v>
      </c>
      <c r="Z33" s="12">
        <f>ROUND(IF($W$33&lt;=0,0,MIN(MAX(0,$W$33+$X$33-$Y$33),MAX(0,$AG$33-$F$33-$K$33-$P$33-$U$33))),2)</f>
        <v>0.0</v>
      </c>
      <c r="AA33" s="12">
        <f>ROUND(MAX(0,$W$33+$X$33-$Y$33-$Z$33),2)</f>
        <v>701.7</v>
      </c>
      <c r="AB33" s="12">
        <f>$AF$32</f>
        <v>2060.77</v>
      </c>
      <c r="AC33" s="12">
        <f>ROUND(IF($AB$33&lt;=0,0,$AB$33*AutoAPR/12),2)</f>
        <v>11.15</v>
      </c>
      <c r="AD33" s="12">
        <f>ROUND(IF($AB$33&lt;=0,0,MIN(AutoMinPayment,$AB$33+$AC$33)),2)</f>
        <v>194.0</v>
      </c>
      <c r="AE33" s="12">
        <f>ROUND(IF($AB$33&lt;=0,0,MIN(MAX(0,$AB$33+$AC$33-$AD$33),MAX(0,$AG$33-$F$33-$K$33-$P$33-$U$33-$Z$33))),2)</f>
        <v>0.0</v>
      </c>
      <c r="AF33" s="12">
        <f>ROUND(MAX(0,$AB$33+$AC$33-$AD$33-$AE$33),2)</f>
        <v>1877.92</v>
      </c>
      <c r="AG33" s="12">
        <f>ROUND(ExtraPayment+IF($G$32&lt;=0,MedicalMinPayment,0)+IF($L$32&lt;=0,StoreMinPayment,0)+IF($Q$32&lt;=0,VisaMinPayment,0)+IF($V$32&lt;=0,PersonalMinPayment,0)+IF($AA$32&lt;=0,FurnitureMinPayment,0)+IF($AF$32&lt;=0,AutoMinPayment,0),2)</f>
        <v>310.0</v>
      </c>
      <c r="AH33" s="12">
        <f>ROUND(SUM($D$33,$I$33,$N$33,$S$33,$X$33,$AC$33),2)</f>
        <v>75.02</v>
      </c>
      <c r="AI33" s="12">
        <f>ROUND(SUM($G$33,$L$33,$Q$33,$V$33,$AA$33,$AF$33),2)</f>
        <v>5360.24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ROUND(IF($C$34&lt;=0,0,$C$34*MedicalAPR/12),2)</f>
        <v>0.0</v>
      </c>
      <c r="E34" s="12">
        <f>ROUND(IF($C$34&lt;=0,0,MIN(MedicalMinPayment,$C$34+$D$34)),2)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ROUND(IF($H$34&lt;=0,0,$H$34*StoreAPR/12),2)</f>
        <v>0.0</v>
      </c>
      <c r="J34" s="12">
        <f>ROUND(IF($H$34&lt;=0,0,MIN(StoreMinPayment,$H$34+$I$34)),2)</f>
        <v>0.0</v>
      </c>
      <c r="K34" s="12">
        <f>ROUND(IF($H$34&lt;=0,0,MIN(MAX(0,$H$34+$I$34-$J$34),MAX(0,$AG$34-$F$34))),2)</f>
        <v>0.0</v>
      </c>
      <c r="L34" s="12">
        <f>ROUND(MAX(0,$H$34+$I$34-$J$34-$K$34),2)</f>
        <v>0.0</v>
      </c>
      <c r="M34" s="12">
        <f>$Q$33</f>
        <v>1111.55</v>
      </c>
      <c r="N34" s="12">
        <f>ROUND(IF($M$34&lt;=0,0,$M$34*VisaAPR/12),2)</f>
        <v>25.0</v>
      </c>
      <c r="O34" s="12">
        <f>ROUND(IF($M$34&lt;=0,0,MIN(VisaMinPayment,$M$34+$N$34)),2)</f>
        <v>270.0</v>
      </c>
      <c r="P34" s="12">
        <f>ROUND(IF($M$34&lt;=0,0,MIN(MAX(0,$M$34+$N$34-$O$34),MAX(0,$AG$34-$F$34-$K$34))),2)</f>
        <v>310.0</v>
      </c>
      <c r="Q34" s="12">
        <f>ROUND(MAX(0,$M$34+$N$34-$O$34-$P$34),2)</f>
        <v>556.55</v>
      </c>
      <c r="R34" s="12">
        <f>$V$33</f>
        <v>1669.07</v>
      </c>
      <c r="S34" s="12">
        <f>ROUND(IF($R$34&lt;=0,0,$R$34*PersonalAPR/12),2)</f>
        <v>18.76</v>
      </c>
      <c r="T34" s="12">
        <f>ROUND(IF($R$34&lt;=0,0,MIN(PersonalMinPayment,$R$34+$S$34)),2)</f>
        <v>154.0</v>
      </c>
      <c r="U34" s="12">
        <f>ROUND(IF($R$34&lt;=0,0,MIN(MAX(0,$R$34+$S$34-$T$34),MAX(0,$AG$34-$F$34-$K$34-$P$34))),2)</f>
        <v>0.0</v>
      </c>
      <c r="V34" s="12">
        <f>ROUND(MAX(0,$R$34+$S$34-$T$34-$U$34),2)</f>
        <v>1533.83</v>
      </c>
      <c r="W34" s="12">
        <f>$AA$33</f>
        <v>701.7</v>
      </c>
      <c r="X34" s="12">
        <f>ROUND(IF($W$34&lt;=0,0,$W$34*FurnitureAPR/12),2)</f>
        <v>5.84</v>
      </c>
      <c r="Y34" s="12">
        <f>ROUND(IF($W$34&lt;=0,0,MIN(FurnitureMinPayment,$W$34+$X$34)),2)</f>
        <v>72.0</v>
      </c>
      <c r="Z34" s="12">
        <f>ROUND(IF($W$34&lt;=0,0,MIN(MAX(0,$W$34+$X$34-$Y$34),MAX(0,$AG$34-$F$34-$K$34-$P$34-$U$34))),2)</f>
        <v>0.0</v>
      </c>
      <c r="AA34" s="12">
        <f>ROUND(MAX(0,$W$34+$X$34-$Y$34-$Z$34),2)</f>
        <v>635.54</v>
      </c>
      <c r="AB34" s="12">
        <f>$AF$33</f>
        <v>1877.92</v>
      </c>
      <c r="AC34" s="12">
        <f>ROUND(IF($AB$34&lt;=0,0,$AB$34*AutoAPR/12),2)</f>
        <v>10.16</v>
      </c>
      <c r="AD34" s="12">
        <f>ROUND(IF($AB$34&lt;=0,0,MIN(AutoMinPayment,$AB$34+$AC$34)),2)</f>
        <v>194.0</v>
      </c>
      <c r="AE34" s="12">
        <f>ROUND(IF($AB$34&lt;=0,0,MIN(MAX(0,$AB$34+$AC$34-$AD$34),MAX(0,$AG$34-$F$34-$K$34-$P$34-$U$34-$Z$34))),2)</f>
        <v>0.0</v>
      </c>
      <c r="AF34" s="12">
        <f>ROUND(MAX(0,$AB$34+$AC$34-$AD$34-$AE$34),2)</f>
        <v>1694.08</v>
      </c>
      <c r="AG34" s="12">
        <f>ROUND(ExtraPayment+IF($G$33&lt;=0,MedicalMinPayment,0)+IF($L$33&lt;=0,StoreMinPayment,0)+IF($Q$33&lt;=0,VisaMinPayment,0)+IF($V$33&lt;=0,PersonalMinPayment,0)+IF($AA$33&lt;=0,FurnitureMinPayment,0)+IF($AF$33&lt;=0,AutoMinPayment,0),2)</f>
        <v>310.0</v>
      </c>
      <c r="AH34" s="12">
        <f>ROUND(SUM($D$34,$I$34,$N$34,$S$34,$X$34,$AC$34),2)</f>
        <v>59.76</v>
      </c>
      <c r="AI34" s="12">
        <f>ROUND(SUM($G$34,$L$34,$Q$34,$V$34,$AA$34,$AF$34),2)</f>
        <v>4420.0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ROUND(IF($C$35&lt;=0,0,$C$35*MedicalAPR/12),2)</f>
        <v>0.0</v>
      </c>
      <c r="E35" s="12">
        <f>ROUND(IF($C$35&lt;=0,0,MIN(MedicalMinPayment,$C$35+$D$35)),2)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ROUND(IF($H$35&lt;=0,0,$H$35*StoreAPR/12),2)</f>
        <v>0.0</v>
      </c>
      <c r="J35" s="12">
        <f>ROUND(IF($H$35&lt;=0,0,MIN(StoreMinPayment,$H$35+$I$35)),2)</f>
        <v>0.0</v>
      </c>
      <c r="K35" s="12">
        <f>ROUND(IF($H$35&lt;=0,0,MIN(MAX(0,$H$35+$I$35-$J$35),MAX(0,$AG$35-$F$35))),2)</f>
        <v>0.0</v>
      </c>
      <c r="L35" s="12">
        <f>ROUND(MAX(0,$H$35+$I$35-$J$35-$K$35),2)</f>
        <v>0.0</v>
      </c>
      <c r="M35" s="12">
        <f>$Q$34</f>
        <v>556.55</v>
      </c>
      <c r="N35" s="12">
        <f>ROUND(IF($M$35&lt;=0,0,$M$35*VisaAPR/12),2)</f>
        <v>12.52</v>
      </c>
      <c r="O35" s="12">
        <f>ROUND(IF($M$35&lt;=0,0,MIN(VisaMinPayment,$M$35+$N$35)),2)</f>
        <v>270.0</v>
      </c>
      <c r="P35" s="12">
        <f>ROUND(IF($M$35&lt;=0,0,MIN(MAX(0,$M$35+$N$35-$O$35),MAX(0,$AG$35-$F$35-$K$35))),2)</f>
        <v>299.07</v>
      </c>
      <c r="Q35" s="12">
        <f>ROUND(MAX(0,$M$35+$N$35-$O$35-$P$35),2)</f>
        <v>0.0</v>
      </c>
      <c r="R35" s="12">
        <f>$V$34</f>
        <v>1533.83</v>
      </c>
      <c r="S35" s="12">
        <f>ROUND(IF($R$35&lt;=0,0,$R$35*PersonalAPR/12),2)</f>
        <v>17.24</v>
      </c>
      <c r="T35" s="12">
        <f>ROUND(IF($R$35&lt;=0,0,MIN(PersonalMinPayment,$R$35+$S$35)),2)</f>
        <v>154.0</v>
      </c>
      <c r="U35" s="12">
        <f>ROUND(IF($R$35&lt;=0,0,MIN(MAX(0,$R$35+$S$35-$T$35),MAX(0,$AG$35-$F$35-$K$35-$P$35))),2)</f>
        <v>10.93</v>
      </c>
      <c r="V35" s="12">
        <f>ROUND(MAX(0,$R$35+$S$35-$T$35-$U$35),2)</f>
        <v>1386.14</v>
      </c>
      <c r="W35" s="12">
        <f>$AA$34</f>
        <v>635.54</v>
      </c>
      <c r="X35" s="12">
        <f>ROUND(IF($W$35&lt;=0,0,$W$35*FurnitureAPR/12),2)</f>
        <v>5.29</v>
      </c>
      <c r="Y35" s="12">
        <f>ROUND(IF($W$35&lt;=0,0,MIN(FurnitureMinPayment,$W$35+$X$35)),2)</f>
        <v>72.0</v>
      </c>
      <c r="Z35" s="12">
        <f>ROUND(IF($W$35&lt;=0,0,MIN(MAX(0,$W$35+$X$35-$Y$35),MAX(0,$AG$35-$F$35-$K$35-$P$35-$U$35))),2)</f>
        <v>0.0</v>
      </c>
      <c r="AA35" s="12">
        <f>ROUND(MAX(0,$W$35+$X$35-$Y$35-$Z$35),2)</f>
        <v>568.83</v>
      </c>
      <c r="AB35" s="12">
        <f>$AF$34</f>
        <v>1694.08</v>
      </c>
      <c r="AC35" s="12">
        <f>ROUND(IF($AB$35&lt;=0,0,$AB$35*AutoAPR/12),2)</f>
        <v>9.16</v>
      </c>
      <c r="AD35" s="12">
        <f>ROUND(IF($AB$35&lt;=0,0,MIN(AutoMinPayment,$AB$35+$AC$35)),2)</f>
        <v>194.0</v>
      </c>
      <c r="AE35" s="12">
        <f>ROUND(IF($AB$35&lt;=0,0,MIN(MAX(0,$AB$35+$AC$35-$AD$35),MAX(0,$AG$35-$F$35-$K$35-$P$35-$U$35-$Z$35))),2)</f>
        <v>0.0</v>
      </c>
      <c r="AF35" s="12">
        <f>ROUND(MAX(0,$AB$35+$AC$35-$AD$35-$AE$35),2)</f>
        <v>1509.24</v>
      </c>
      <c r="AG35" s="12">
        <f>ROUND(ExtraPayment+IF($G$34&lt;=0,MedicalMinPayment,0)+IF($L$34&lt;=0,StoreMinPayment,0)+IF($Q$34&lt;=0,VisaMinPayment,0)+IF($V$34&lt;=0,PersonalMinPayment,0)+IF($AA$34&lt;=0,FurnitureMinPayment,0)+IF($AF$34&lt;=0,AutoMinPayment,0),2)</f>
        <v>310.0</v>
      </c>
      <c r="AH35" s="12">
        <f>ROUND(SUM($D$35,$I$35,$N$35,$S$35,$X$35,$AC$35),2)</f>
        <v>44.21</v>
      </c>
      <c r="AI35" s="12">
        <f>ROUND(SUM($G$35,$L$35,$Q$35,$V$35,$AA$35,$AF$35),2)</f>
        <v>3464.21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ROUND(IF($C$36&lt;=0,0,$C$36*MedicalAPR/12),2)</f>
        <v>0.0</v>
      </c>
      <c r="E36" s="12">
        <f>ROUND(IF($C$36&lt;=0,0,MIN(MedicalMinPayment,$C$36+$D$36)),2)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ROUND(IF($H$36&lt;=0,0,$H$36*StoreAPR/12),2)</f>
        <v>0.0</v>
      </c>
      <c r="J36" s="12">
        <f>ROUND(IF($H$36&lt;=0,0,MIN(StoreMinPayment,$H$36+$I$36)),2)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ROUND(IF($M$36&lt;=0,0,$M$36*VisaAPR/12),2)</f>
        <v>0.0</v>
      </c>
      <c r="O36" s="12">
        <f>ROUND(IF($M$36&lt;=0,0,MIN(VisaMinPayment,$M$36+$N$36)),2)</f>
        <v>0.0</v>
      </c>
      <c r="P36" s="12">
        <f>ROUND(IF($M$36&lt;=0,0,MIN(MAX(0,$M$36+$N$36-$O$36),MAX(0,$AG$36-$F$36-$K$36))),2)</f>
        <v>0.0</v>
      </c>
      <c r="Q36" s="12">
        <f>ROUND(MAX(0,$M$36+$N$36-$O$36-$P$36),2)</f>
        <v>0.0</v>
      </c>
      <c r="R36" s="12">
        <f>$V$35</f>
        <v>1386.14</v>
      </c>
      <c r="S36" s="12">
        <f>ROUND(IF($R$36&lt;=0,0,$R$36*PersonalAPR/12),2)</f>
        <v>15.58</v>
      </c>
      <c r="T36" s="12">
        <f>ROUND(IF($R$36&lt;=0,0,MIN(PersonalMinPayment,$R$36+$S$36)),2)</f>
        <v>154.0</v>
      </c>
      <c r="U36" s="12">
        <f>ROUND(IF($R$36&lt;=0,0,MIN(MAX(0,$R$36+$S$36-$T$36),MAX(0,$AG$36-$F$36-$K$36-$P$36))),2)</f>
        <v>580.0</v>
      </c>
      <c r="V36" s="12">
        <f>ROUND(MAX(0,$R$36+$S$36-$T$36-$U$36),2)</f>
        <v>667.72</v>
      </c>
      <c r="W36" s="12">
        <f>$AA$35</f>
        <v>568.83</v>
      </c>
      <c r="X36" s="12">
        <f>ROUND(IF($W$36&lt;=0,0,$W$36*FurnitureAPR/12),2)</f>
        <v>4.74</v>
      </c>
      <c r="Y36" s="12">
        <f>ROUND(IF($W$36&lt;=0,0,MIN(FurnitureMinPayment,$W$36+$X$36)),2)</f>
        <v>72.0</v>
      </c>
      <c r="Z36" s="12">
        <f>ROUND(IF($W$36&lt;=0,0,MIN(MAX(0,$W$36+$X$36-$Y$36),MAX(0,$AG$36-$F$36-$K$36-$P$36-$U$36))),2)</f>
        <v>0.0</v>
      </c>
      <c r="AA36" s="12">
        <f>ROUND(MAX(0,$W$36+$X$36-$Y$36-$Z$36),2)</f>
        <v>501.57</v>
      </c>
      <c r="AB36" s="12">
        <f>$AF$35</f>
        <v>1509.24</v>
      </c>
      <c r="AC36" s="12">
        <f>ROUND(IF($AB$36&lt;=0,0,$AB$36*AutoAPR/12),2)</f>
        <v>8.16</v>
      </c>
      <c r="AD36" s="12">
        <f>ROUND(IF($AB$36&lt;=0,0,MIN(AutoMinPayment,$AB$36+$AC$36)),2)</f>
        <v>194.0</v>
      </c>
      <c r="AE36" s="12">
        <f>ROUND(IF($AB$36&lt;=0,0,MIN(MAX(0,$AB$36+$AC$36-$AD$36),MAX(0,$AG$36-$F$36-$K$36-$P$36-$U$36-$Z$36))),2)</f>
        <v>0.0</v>
      </c>
      <c r="AF36" s="12">
        <f>ROUND(MAX(0,$AB$36+$AC$36-$AD$36-$AE$36),2)</f>
        <v>1323.4</v>
      </c>
      <c r="AG36" s="12">
        <f>ROUND(ExtraPayment+IF($G$35&lt;=0,MedicalMinPayment,0)+IF($L$35&lt;=0,StoreMinPayment,0)+IF($Q$35&lt;=0,VisaMinPayment,0)+IF($V$35&lt;=0,PersonalMinPayment,0)+IF($AA$35&lt;=0,FurnitureMinPayment,0)+IF($AF$35&lt;=0,AutoMinPayment,0),2)</f>
        <v>580.0</v>
      </c>
      <c r="AH36" s="12">
        <f>ROUND(SUM($D$36,$I$36,$N$36,$S$36,$X$36,$AC$36),2)</f>
        <v>28.48</v>
      </c>
      <c r="AI36" s="12">
        <f>ROUND(SUM($G$36,$L$36,$Q$36,$V$36,$AA$36,$AF$36),2)</f>
        <v>2492.69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ROUND(IF($C$37&lt;=0,0,$C$37*MedicalAPR/12),2)</f>
        <v>0.0</v>
      </c>
      <c r="E37" s="12">
        <f>ROUND(IF($C$37&lt;=0,0,MIN(MedicalMinPayment,$C$37+$D$37)),2)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ROUND(IF($H$37&lt;=0,0,$H$37*StoreAPR/12),2)</f>
        <v>0.0</v>
      </c>
      <c r="J37" s="12">
        <f>ROUND(IF($H$37&lt;=0,0,MIN(StoreMinPayment,$H$37+$I$37)),2)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ROUND(IF($M$37&lt;=0,0,$M$37*VisaAPR/12),2)</f>
        <v>0.0</v>
      </c>
      <c r="O37" s="12">
        <f>ROUND(IF($M$37&lt;=0,0,MIN(VisaMinPayment,$M$37+$N$37)),2)</f>
        <v>0.0</v>
      </c>
      <c r="P37" s="12">
        <f>ROUND(IF($M$37&lt;=0,0,MIN(MAX(0,$M$37+$N$37-$O$37),MAX(0,$AG$37-$F$37-$K$37))),2)</f>
        <v>0.0</v>
      </c>
      <c r="Q37" s="12">
        <f>ROUND(MAX(0,$M$37+$N$37-$O$37-$P$37),2)</f>
        <v>0.0</v>
      </c>
      <c r="R37" s="12">
        <f>$V$36</f>
        <v>667.72</v>
      </c>
      <c r="S37" s="12">
        <f>ROUND(IF($R$37&lt;=0,0,$R$37*PersonalAPR/12),2)</f>
        <v>7.51</v>
      </c>
      <c r="T37" s="12">
        <f>ROUND(IF($R$37&lt;=0,0,MIN(PersonalMinPayment,$R$37+$S$37)),2)</f>
        <v>154.0</v>
      </c>
      <c r="U37" s="12">
        <f>ROUND(IF($R$37&lt;=0,0,MIN(MAX(0,$R$37+$S$37-$T$37),MAX(0,$AG$37-$F$37-$K$37-$P$37))),2)</f>
        <v>521.23</v>
      </c>
      <c r="V37" s="12">
        <f>ROUND(MAX(0,$R$37+$S$37-$T$37-$U$37),2)</f>
        <v>0.0</v>
      </c>
      <c r="W37" s="12">
        <f>$AA$36</f>
        <v>501.57</v>
      </c>
      <c r="X37" s="12">
        <f>ROUND(IF($W$37&lt;=0,0,$W$37*FurnitureAPR/12),2)</f>
        <v>4.18</v>
      </c>
      <c r="Y37" s="12">
        <f>ROUND(IF($W$37&lt;=0,0,MIN(FurnitureMinPayment,$W$37+$X$37)),2)</f>
        <v>72.0</v>
      </c>
      <c r="Z37" s="12">
        <f>ROUND(IF($W$37&lt;=0,0,MIN(MAX(0,$W$37+$X$37-$Y$37),MAX(0,$AG$37-$F$37-$K$37-$P$37-$U$37))),2)</f>
        <v>58.77</v>
      </c>
      <c r="AA37" s="12">
        <f>ROUND(MAX(0,$W$37+$X$37-$Y$37-$Z$37),2)</f>
        <v>374.98</v>
      </c>
      <c r="AB37" s="12">
        <f>$AF$36</f>
        <v>1323.4</v>
      </c>
      <c r="AC37" s="12">
        <f>ROUND(IF($AB$37&lt;=0,0,$AB$37*AutoAPR/12),2)</f>
        <v>7.16</v>
      </c>
      <c r="AD37" s="12">
        <f>ROUND(IF($AB$37&lt;=0,0,MIN(AutoMinPayment,$AB$37+$AC$37)),2)</f>
        <v>194.0</v>
      </c>
      <c r="AE37" s="12">
        <f>ROUND(IF($AB$37&lt;=0,0,MIN(MAX(0,$AB$37+$AC$37-$AD$37),MAX(0,$AG$37-$F$37-$K$37-$P$37-$U$37-$Z$37))),2)</f>
        <v>0.0</v>
      </c>
      <c r="AF37" s="12">
        <f>ROUND(MAX(0,$AB$37+$AC$37-$AD$37-$AE$37),2)</f>
        <v>1136.56</v>
      </c>
      <c r="AG37" s="12">
        <f>ROUND(ExtraPayment+IF($G$36&lt;=0,MedicalMinPayment,0)+IF($L$36&lt;=0,StoreMinPayment,0)+IF($Q$36&lt;=0,VisaMinPayment,0)+IF($V$36&lt;=0,PersonalMinPayment,0)+IF($AA$36&lt;=0,FurnitureMinPayment,0)+IF($AF$36&lt;=0,AutoMinPayment,0),2)</f>
        <v>580.0</v>
      </c>
      <c r="AH37" s="12">
        <f>ROUND(SUM($D$37,$I$37,$N$37,$S$37,$X$37,$AC$37),2)</f>
        <v>18.85</v>
      </c>
      <c r="AI37" s="12">
        <f>ROUND(SUM($G$37,$L$37,$Q$37,$V$37,$AA$37,$AF$37),2)</f>
        <v>1511.54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ROUND(IF($C$38&lt;=0,0,$C$38*MedicalAPR/12),2)</f>
        <v>0.0</v>
      </c>
      <c r="E38" s="12">
        <f>ROUND(IF($C$38&lt;=0,0,MIN(MedicalMinPayment,$C$38+$D$38)),2)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ROUND(IF($H$38&lt;=0,0,$H$38*StoreAPR/12),2)</f>
        <v>0.0</v>
      </c>
      <c r="J38" s="12">
        <f>ROUND(IF($H$38&lt;=0,0,MIN(StoreMinPayment,$H$38+$I$38)),2)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ROUND(IF($M$38&lt;=0,0,$M$38*VisaAPR/12),2)</f>
        <v>0.0</v>
      </c>
      <c r="O38" s="12">
        <f>ROUND(IF($M$38&lt;=0,0,MIN(VisaMinPayment,$M$38+$N$38)),2)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ROUND(IF($R$38&lt;=0,0,$R$38*PersonalAPR/12),2)</f>
        <v>0.0</v>
      </c>
      <c r="T38" s="12">
        <f>ROUND(IF($R$38&lt;=0,0,MIN(PersonalMinPayment,$R$38+$S$38)),2)</f>
        <v>0.0</v>
      </c>
      <c r="U38" s="12">
        <f>ROUND(IF($R$38&lt;=0,0,MIN(MAX(0,$R$38+$S$38-$T$38),MAX(0,$AG$38-$F$38-$K$38-$P$38))),2)</f>
        <v>0.0</v>
      </c>
      <c r="V38" s="12">
        <f>ROUND(MAX(0,$R$38+$S$38-$T$38-$U$38),2)</f>
        <v>0.0</v>
      </c>
      <c r="W38" s="12">
        <f>$AA$37</f>
        <v>374.98</v>
      </c>
      <c r="X38" s="12">
        <f>ROUND(IF($W$38&lt;=0,0,$W$38*FurnitureAPR/12),2)</f>
        <v>3.12</v>
      </c>
      <c r="Y38" s="12">
        <f>ROUND(IF($W$38&lt;=0,0,MIN(FurnitureMinPayment,$W$38+$X$38)),2)</f>
        <v>72.0</v>
      </c>
      <c r="Z38" s="12">
        <f>ROUND(IF($W$38&lt;=0,0,MIN(MAX(0,$W$38+$X$38-$Y$38),MAX(0,$AG$38-$F$38-$K$38-$P$38-$U$38))),2)</f>
        <v>306.1</v>
      </c>
      <c r="AA38" s="12">
        <f>ROUND(MAX(0,$W$38+$X$38-$Y$38-$Z$38),2)</f>
        <v>0.0</v>
      </c>
      <c r="AB38" s="12">
        <f>$AF$37</f>
        <v>1136.56</v>
      </c>
      <c r="AC38" s="12">
        <f>ROUND(IF($AB$38&lt;=0,0,$AB$38*AutoAPR/12),2)</f>
        <v>6.15</v>
      </c>
      <c r="AD38" s="12">
        <f>ROUND(IF($AB$38&lt;=0,0,MIN(AutoMinPayment,$AB$38+$AC$38)),2)</f>
        <v>194.0</v>
      </c>
      <c r="AE38" s="12">
        <f>ROUND(IF($AB$38&lt;=0,0,MIN(MAX(0,$AB$38+$AC$38-$AD$38),MAX(0,$AG$38-$F$38-$K$38-$P$38-$U$38-$Z$38))),2)</f>
        <v>427.9</v>
      </c>
      <c r="AF38" s="12">
        <f>ROUND(MAX(0,$AB$38+$AC$38-$AD$38-$AE$38),2)</f>
        <v>520.81</v>
      </c>
      <c r="AG38" s="12">
        <f>ROUND(ExtraPayment+IF($G$37&lt;=0,MedicalMinPayment,0)+IF($L$37&lt;=0,StoreMinPayment,0)+IF($Q$37&lt;=0,VisaMinPayment,0)+IF($V$37&lt;=0,PersonalMinPayment,0)+IF($AA$37&lt;=0,FurnitureMinPayment,0)+IF($AF$37&lt;=0,AutoMinPayment,0),2)</f>
        <v>734.0</v>
      </c>
      <c r="AH38" s="12">
        <f>ROUND(SUM($D$38,$I$38,$N$38,$S$38,$X$38,$AC$38),2)</f>
        <v>9.27</v>
      </c>
      <c r="AI38" s="12">
        <f>ROUND(SUM($G$38,$L$38,$Q$38,$V$38,$AA$38,$AF$38),2)</f>
        <v>520.81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ROUND(IF($C$39&lt;=0,0,$C$39*MedicalAPR/12),2)</f>
        <v>0.0</v>
      </c>
      <c r="E39" s="12">
        <f>ROUND(IF($C$39&lt;=0,0,MIN(MedicalMinPayment,$C$39+$D$39)),2)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ROUND(IF($H$39&lt;=0,0,$H$39*StoreAPR/12),2)</f>
        <v>0.0</v>
      </c>
      <c r="J39" s="12">
        <f>ROUND(IF($H$39&lt;=0,0,MIN(StoreMinPayment,$H$39+$I$39)),2)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ROUND(IF($M$39&lt;=0,0,$M$39*VisaAPR/12),2)</f>
        <v>0.0</v>
      </c>
      <c r="O39" s="12">
        <f>ROUND(IF($M$39&lt;=0,0,MIN(VisaMinPayment,$M$39+$N$39)),2)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ROUND(IF($R$39&lt;=0,0,$R$39*PersonalAPR/12),2)</f>
        <v>0.0</v>
      </c>
      <c r="T39" s="12">
        <f>ROUND(IF($R$39&lt;=0,0,MIN(PersonalMinPayment,$R$39+$S$39)),2)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0.0</v>
      </c>
      <c r="X39" s="12">
        <f>ROUND(IF($W$39&lt;=0,0,$W$39*FurnitureAPR/12),2)</f>
        <v>0.0</v>
      </c>
      <c r="Y39" s="12">
        <f>ROUND(IF($W$39&lt;=0,0,MIN(FurnitureMinPayment,$W$39+$X$39)),2)</f>
        <v>0.0</v>
      </c>
      <c r="Z39" s="12">
        <f>ROUND(IF($W$39&lt;=0,0,MIN(MAX(0,$W$39+$X$39-$Y$39),MAX(0,$AG$39-$F$39-$K$39-$P$39-$U$39))),2)</f>
        <v>0.0</v>
      </c>
      <c r="AA39" s="12">
        <f>ROUND(MAX(0,$W$39+$X$39-$Y$39-$Z$39),2)</f>
        <v>0.0</v>
      </c>
      <c r="AB39" s="12">
        <f>$AF$38</f>
        <v>520.81</v>
      </c>
      <c r="AC39" s="12">
        <f>ROUND(IF($AB$39&lt;=0,0,$AB$39*AutoAPR/12),2)</f>
        <v>2.82</v>
      </c>
      <c r="AD39" s="12">
        <f>ROUND(IF($AB$39&lt;=0,0,MIN(AutoMinPayment,$AB$39+$AC$39)),2)</f>
        <v>194.0</v>
      </c>
      <c r="AE39" s="12">
        <f>ROUND(IF($AB$39&lt;=0,0,MIN(MAX(0,$AB$39+$AC$39-$AD$39),MAX(0,$AG$39-$F$39-$K$39-$P$39-$U$39-$Z$39))),2)</f>
        <v>329.63</v>
      </c>
      <c r="AF39" s="12">
        <f>ROUND(MAX(0,$AB$39+$AC$39-$AD$39-$AE$39),2)</f>
        <v>0.0</v>
      </c>
      <c r="AG39" s="12">
        <f>ROUND(ExtraPayment+IF($G$38&lt;=0,MedicalMinPayment,0)+IF($L$38&lt;=0,StoreMinPayment,0)+IF($Q$38&lt;=0,VisaMinPayment,0)+IF($V$38&lt;=0,PersonalMinPayment,0)+IF($AA$38&lt;=0,FurnitureMinPayment,0)+IF($AF$38&lt;=0,AutoMinPayment,0),2)</f>
        <v>806.0</v>
      </c>
      <c r="AH39" s="12">
        <f>ROUND(SUM($D$39,$I$39,$N$39,$S$39,$X$39,$AC$39),2)</f>
        <v>2.82</v>
      </c>
      <c r="AI39" s="12">
        <f>ROUND(SUM($G$39,$L$39,$Q$39,$V$39,$AA$39,$AF$39),2)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Second Win Cost Map&amp;CDebtPayoffSpreadsheet.org&amp;Rv1.0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" width="20.7109375" customWidth="1"/>
    <col min="2" max="3" width="16.7109375" customWidth="1"/>
    <col min="4" max="4" width="3.7109375" customWidth="1"/>
    <col min="5" max="12" width="12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>
      <c r="A4" s="13" t="s">
        <v>58</v>
      </c>
      <c r="B4" s="17" t="str">
        <f>TEXT(EDATE(StartDate,MATCH(0,'Snowball_Schedule'!G5:G40,0)-1),"mmmm yyyy")</f>
        <v>June 2026</v>
      </c>
      <c r="C4" s="13" t="s">
        <v>59</v>
      </c>
      <c r="D4" s="17" t="str">
        <f>TEXT(EDATE(StartDate,MATCH(0,'Snowball_Schedule'!L5:L40,0)-1),"mmmm yyyy")</f>
        <v>February 2027</v>
      </c>
      <c r="E4" s="13" t="s">
        <v>60</v>
      </c>
      <c r="F4" s="17" t="str">
        <f>TEXT(EDATE(StartDate,MATCH(0,'Hybrid_Schedule'!L5:L39,0)-1),"mmmm yyyy")</f>
        <v>June 2027</v>
      </c>
    </row>
    <row r="5" spans="1:12">
      <c r="A5" s="13" t="s">
        <v>61</v>
      </c>
      <c r="B5" s="17" t="str">
        <f>TEXT(EDATE(StartDate,MATCH(0,'Snowball_Schedule'!AI5:AI40,0)-1),"mmmm yyyy")</f>
        <v>March 2029</v>
      </c>
      <c r="C5" s="13" t="s">
        <v>62</v>
      </c>
      <c r="D5" s="17" t="str">
        <f>TEXT(EDATE(StartDate,MATCH(0,'Hybrid_Schedule'!AI5:AI39,0)-1),"mmmm yyyy")</f>
        <v>February 2029</v>
      </c>
      <c r="E5" s="13" t="s">
        <v>63</v>
      </c>
      <c r="F5" s="12">
        <f>SUM('Snowball_Schedule'!AH5:AH40)-SUM('Hybrid_Schedule'!AH5:AH39)</f>
        <v>1202.18</v>
      </c>
    </row>
    <row r="7" spans="1:12">
      <c r="A7" s="15" t="s">
        <v>64</v>
      </c>
      <c r="B7" s="15"/>
      <c r="C7" s="15"/>
      <c r="D7" s="15"/>
      <c r="E7" s="15"/>
      <c r="F7" s="15"/>
    </row>
    <row r="8" spans="1:12">
      <c r="A8" s="15"/>
      <c r="B8" s="15"/>
      <c r="C8" s="15"/>
      <c r="D8" s="15"/>
      <c r="E8" s="15"/>
      <c r="F8" s="15"/>
    </row>
    <row r="9" spans="1:12">
      <c r="A9" s="15"/>
      <c r="B9" s="15"/>
      <c r="C9" s="15"/>
      <c r="D9" s="15"/>
      <c r="E9" s="15"/>
      <c r="F9" s="15"/>
    </row>
    <row r="11" spans="1:12">
      <c r="A11" s="7" t="s">
        <v>65</v>
      </c>
      <c r="B11" s="7" t="s">
        <v>66</v>
      </c>
      <c r="C11" s="18" t="s">
        <v>67</v>
      </c>
    </row>
    <row r="12" spans="1:12">
      <c r="A12" s="13" t="s">
        <v>68</v>
      </c>
      <c r="B12" s="3" t="str">
        <f>Inputs!A5</f>
        <v>Medical Payment Plan</v>
      </c>
      <c r="C12" s="3" t="str">
        <f>Inputs!A5</f>
        <v>Medical Payment Plan</v>
      </c>
    </row>
    <row r="13" spans="1:12">
      <c r="A13" s="13" t="s">
        <v>69</v>
      </c>
      <c r="B13" s="17" t="str">
        <f>TEXT(EDATE(StartDate,MATCH(0,'Snowball_Schedule'!G5:G40,0)-1),"mmmm yyyy")</f>
        <v>June 2026</v>
      </c>
      <c r="C13" s="17" t="str">
        <f>TEXT(EDATE(StartDate,MATCH(0,'Hybrid_Schedule'!G5:G39,0)-1),"mmmm yyyy")</f>
        <v>June 2026</v>
      </c>
    </row>
    <row r="14" spans="1:12">
      <c r="A14" s="13" t="s">
        <v>70</v>
      </c>
      <c r="B14" s="3" t="str">
        <f>Inputs!A6</f>
        <v>Furniture Loan</v>
      </c>
      <c r="C14" s="3" t="str">
        <f>Inputs!A7</f>
        <v>Store Card</v>
      </c>
    </row>
    <row r="15" spans="1:12">
      <c r="A15" s="13" t="s">
        <v>71</v>
      </c>
      <c r="B15" s="17" t="str">
        <f>TEXT(EDATE(StartDate,MATCH(0,'Snowball_Schedule'!L5:L40,0)-1),"mmmm yyyy")</f>
        <v>February 2027</v>
      </c>
      <c r="C15" s="17" t="str">
        <f>TEXT(EDATE(StartDate,MATCH(0,'Hybrid_Schedule'!L5:L39,0)-1),"mmmm yyyy")</f>
        <v>June 2027</v>
      </c>
    </row>
    <row r="16" spans="1:12">
      <c r="A16" s="13" t="s">
        <v>72</v>
      </c>
      <c r="B16" s="17" t="str">
        <f>TEXT(EDATE(StartDate,MATCH(0,'Snowball_Schedule'!AF5:AF40,0)-1),"mmmm yyyy")</f>
        <v>March 2029</v>
      </c>
      <c r="C16" s="17" t="str">
        <f>TEXT(EDATE(StartDate,MATCH(0,'Hybrid_Schedule'!Q5:Q39,0)-1),"mmmm yyyy")</f>
        <v>October 2028</v>
      </c>
    </row>
    <row r="17" spans="1:3">
      <c r="A17" s="13" t="s">
        <v>73</v>
      </c>
      <c r="B17" s="12">
        <f>SUM('Snowball_Schedule'!AH5:AH40)</f>
        <v>8725.81</v>
      </c>
      <c r="C17" s="12">
        <f>SUM('Hybrid_Schedule'!AH5:AH39)</f>
        <v>7523.63</v>
      </c>
    </row>
  </sheetData>
  <mergeCells count="3">
    <mergeCell ref="A1:L1"/>
    <mergeCell ref="A2:L2"/>
    <mergeCell ref="A7:F9"/>
  </mergeCells>
  <pageMargins left="0.7" right="0.7" top="0.75" bottom="0.75" header="0.3" footer="0.3"/>
  <headerFooter>
    <oddFooter>&amp;LDebt Payoff Second Win Cost Map&amp;CDebtPayoffSpreadsheet.org&amp;Rv1.0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74</v>
      </c>
      <c r="B2" s="1"/>
    </row>
    <row r="4" spans="1:2">
      <c r="A4" s="2" t="s">
        <v>75</v>
      </c>
      <c r="B4" s="19" t="s">
        <v>76</v>
      </c>
    </row>
    <row r="5" spans="1:2">
      <c r="B5" s="19" t="s">
        <v>77</v>
      </c>
    </row>
    <row r="6" spans="1:2">
      <c r="B6" s="19" t="s">
        <v>78</v>
      </c>
    </row>
    <row r="8" spans="1:2">
      <c r="A8" s="2" t="s">
        <v>79</v>
      </c>
      <c r="B8" s="19" t="s">
        <v>80</v>
      </c>
    </row>
    <row r="9" spans="1:2">
      <c r="B9" s="19" t="s">
        <v>81</v>
      </c>
    </row>
    <row r="10" spans="1:2">
      <c r="B10" s="19" t="s">
        <v>82</v>
      </c>
    </row>
    <row r="12" spans="1:2">
      <c r="A12" s="2" t="s">
        <v>83</v>
      </c>
      <c r="B12" s="19" t="s">
        <v>84</v>
      </c>
    </row>
    <row r="13" spans="1:2">
      <c r="B13" s="19" t="s">
        <v>85</v>
      </c>
    </row>
    <row r="14" spans="1:2">
      <c r="B14" s="19" t="s">
        <v>86</v>
      </c>
    </row>
    <row r="17" spans="1:2">
      <c r="A17" s="2" t="s">
        <v>87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Payoff Second Win Cost Map&amp;CDebtPayoffSpreadsheet.org&amp;Rv1.0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22</vt:i4>
      </vt:variant>
    </vt:vector>
  </HeadingPairs>
  <TitlesOfParts>
    <vt:vector size="28" baseType="lpstr">
      <vt:lpstr>Start_Here</vt:lpstr>
      <vt:lpstr>Inputs</vt:lpstr>
      <vt:lpstr>Snowball_Schedule</vt:lpstr>
      <vt:lpstr>Hybrid_Schedule</vt:lpstr>
      <vt:lpstr>Second_Win_Map</vt:lpstr>
      <vt:lpstr>Bonus_Tips</vt:lpstr>
      <vt:lpstr>AutoAPR</vt:lpstr>
      <vt:lpstr>AutoBalance</vt:lpstr>
      <vt:lpstr>AutoMinPayment</vt:lpstr>
      <vt:lpstr>ExtraPayment</vt:lpstr>
      <vt:lpstr>FurnitureAPR</vt:lpstr>
      <vt:lpstr>FurnitureBalance</vt:lpstr>
      <vt:lpstr>FurnitureMinPayment</vt:lpstr>
      <vt:lpstr>MedicalAPR</vt:lpstr>
      <vt:lpstr>MedicalBalance</vt:lpstr>
      <vt:lpstr>MedicalMinPayment</vt:lpstr>
      <vt:lpstr>PersonalAPR</vt:lpstr>
      <vt:lpstr>PersonalBalance</vt:lpstr>
      <vt:lpstr>PersonalMinPayment</vt:lpstr>
      <vt:lpstr>StartDate</vt:lpstr>
      <vt:lpstr>StoreAPR</vt:lpstr>
      <vt:lpstr>StoreBalance</vt:lpstr>
      <vt:lpstr>StoreMinPayment</vt:lpstr>
      <vt:lpstr>TotalDebt</vt:lpstr>
      <vt:lpstr>TotalMinimums</vt:lpstr>
      <vt:lpstr>VisaAPR</vt:lpstr>
      <vt:lpstr>VisaBalance</vt:lpstr>
      <vt:lpstr>VisaMinPayment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2026-03-08T09:04:06Z</dcterms:created>
  <dcterms:modified xsi:type="dcterms:W3CDTF">2026-03-08T09:04:06Z</dcterms:modified>
</cp:coreProperties>
</file>