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rt_Here" sheetId="1" r:id="rId1"/>
    <sheet name="Inputs" sheetId="2" r:id="rId2"/>
    <sheet name="No_Windfall_Schedule" sheetId="3" r:id="rId3"/>
    <sheet name="Early_Windfall_Schedule" sheetId="4" r:id="rId4"/>
    <sheet name="Late_Windfall_Schedule" sheetId="5" r:id="rId5"/>
    <sheet name="Timing_Comparison" sheetId="6" r:id="rId6"/>
    <sheet name="Bonus_Tips" sheetId="7" r:id="rId7"/>
  </sheets>
  <definedNames>
    <definedName name="CreditUnionVisaAPR">Inputs!$C$7</definedName>
    <definedName name="CreditUnionVisaBalance">Inputs!$B$7</definedName>
    <definedName name="CreditUnionVisaMinPayment">Inputs!$D$7</definedName>
    <definedName name="EarlyWindfallBaseExtra">Inputs!$I$6</definedName>
    <definedName name="EarlyWindfallPermanentLift">Inputs!$J$6</definedName>
    <definedName name="EarlyWindfallTempBoost">Inputs!$K$6</definedName>
    <definedName name="EarlyWindfallTempMonths">Inputs!$L$6</definedName>
    <definedName name="EarlyWindfallWindfall">Inputs!$M$6</definedName>
    <definedName name="EarlyWindfallWindfallMonth">Inputs!$O$6</definedName>
    <definedName name="LateWindfallBaseExtra">Inputs!$I$7</definedName>
    <definedName name="LateWindfallPermanentLift">Inputs!$J$7</definedName>
    <definedName name="LateWindfallTempBoost">Inputs!$K$7</definedName>
    <definedName name="LateWindfallTempMonths">Inputs!$L$7</definedName>
    <definedName name="LateWindfallWindfall">Inputs!$M$7</definedName>
    <definedName name="LateWindfallWindfallMonth">Inputs!$O$7</definedName>
    <definedName name="MedicalPlanAPR">Inputs!$C$5</definedName>
    <definedName name="MedicalPlanBalance">Inputs!$B$5</definedName>
    <definedName name="MedicalPlanMinPayment">Inputs!$D$5</definedName>
    <definedName name="NoWindfallBaseExtra">Inputs!$I$5</definedName>
    <definedName name="NoWindfallPermanentLift">Inputs!$J$5</definedName>
    <definedName name="NoWindfallTempBoost">Inputs!$K$5</definedName>
    <definedName name="NoWindfallTempMonths">Inputs!$L$5</definedName>
    <definedName name="NoWindfallWindfall">Inputs!$M$5</definedName>
    <definedName name="NoWindfallWindfallMonth">Inputs!$O$5</definedName>
    <definedName name="PersonalLoanAPR">Inputs!$C$8</definedName>
    <definedName name="PersonalLoanBalance">Inputs!$B$8</definedName>
    <definedName name="PersonalLoanMinPayment">Inputs!$D$8</definedName>
    <definedName name="StartDate">Inputs!$B$12</definedName>
    <definedName name="StoreCardAPR">Inputs!$C$6</definedName>
    <definedName name="StoreCardBalance">Inputs!$B$6</definedName>
    <definedName name="StoreCardMinPayment">Inputs!$D$6</definedName>
    <definedName name="TotalDebt">Inputs!$B$10</definedName>
    <definedName name="TotalMinimums">Inputs!$D$10</definedName>
    <definedName name="UsedAutoLoanAPR">Inputs!$C$9</definedName>
    <definedName name="UsedAutoLoanBalance">Inputs!$B$9</definedName>
    <definedName name="UsedAutoLoanMinPayment">Inputs!$D$9</definedName>
  </definedNames>
  <calcPr calcId="124519" fullCalcOnLoad="1"/>
</workbook>
</file>

<file path=xl/sharedStrings.xml><?xml version="1.0" encoding="utf-8"?>
<sst xmlns="http://schemas.openxmlformats.org/spreadsheetml/2006/main" count="215" uniqueCount="101">
  <si>
    <t>Fast Payoff Windfall Timing</t>
  </si>
  <si>
    <t>Website</t>
  </si>
  <si>
    <t>Debt Payoff Spreadsheet</t>
  </si>
  <si>
    <t>Who It Helps</t>
  </si>
  <si>
    <t>A timing worksheet for readers who already know a refund is going to debt and need to see whether waiting a few months actually matters.</t>
  </si>
  <si>
    <t>About This Template</t>
  </si>
  <si>
    <t>All three paths keep the same five debts, the same $900 steady outlay, and the same debt order.</t>
  </si>
  <si>
    <t>The only change is the month when the $1,600 refund hits the Store Card path.</t>
  </si>
  <si>
    <t>Use this file when the lump sum exists either way and the real decision is whether to send it now or later.</t>
  </si>
  <si>
    <t>How to Use</t>
  </si>
  <si>
    <t>1. Open the Inputs sheet to confirm that the debt stack and monthly outlay are identical across all three timing options.</t>
  </si>
  <si>
    <t>2. Use the Timing_Comparison sheet for the quick answer on months saved, interest saved, and the Store Card payoff gap.</t>
  </si>
  <si>
    <t>3. Review the schedule sheets if you want to inspect the first 12 months of Store Card balances month by month.</t>
  </si>
  <si>
    <t>4. Keep the default control values in place if you want the worksheet to match the article exactly.</t>
  </si>
  <si>
    <t>Version</t>
  </si>
  <si>
    <t>v1.0 | Updated 2026-03-09</t>
  </si>
  <si>
    <t>Newsletter</t>
  </si>
  <si>
    <t>Get spreadsheet updates by email</t>
  </si>
  <si>
    <t>Homepage</t>
  </si>
  <si>
    <t>DebtPayoffSpreadsheet.org</t>
  </si>
  <si>
    <t>Disclaimer</t>
  </si>
  <si>
    <t>Results are estimates for informational and planning purposes only and do not constitute financial, legal, tax, or investment advice. Consult a qualified professional for personalized guidance.</t>
  </si>
  <si>
    <t>Fast Payoff Windfall Timing - DebtPayoffSpreadsheet.org</t>
  </si>
  <si>
    <t>Debt Inputs</t>
  </si>
  <si>
    <t>Debt Name</t>
  </si>
  <si>
    <t>Balance</t>
  </si>
  <si>
    <t>APR</t>
  </si>
  <si>
    <t>Min Payment</t>
  </si>
  <si>
    <t>Debt Type</t>
  </si>
  <si>
    <t>Scenario Note</t>
  </si>
  <si>
    <t>Medical Payment Plan</t>
  </si>
  <si>
    <t>Medical payment plan</t>
  </si>
  <si>
    <t>Low-stress balance left on minimums while the expensive cards get attacked first.</t>
  </si>
  <si>
    <t>Store Card</t>
  </si>
  <si>
    <t>Credit card</t>
  </si>
  <si>
    <t>Small enough to disappear quickly once the payment stream gets aggressive.</t>
  </si>
  <si>
    <t>Credit Union Visa</t>
  </si>
  <si>
    <t>Large revolving balance that keeps the fast plan honest.</t>
  </si>
  <si>
    <t>Personal Loan</t>
  </si>
  <si>
    <t>Installment loan</t>
  </si>
  <si>
    <t>Mid-rate balance that matters after the cards are controlled.</t>
  </si>
  <si>
    <t>Used Auto Loan</t>
  </si>
  <si>
    <t>Auto loan</t>
  </si>
  <si>
    <t>Lowest-cost large balance that remains late in the payoff path.</t>
  </si>
  <si>
    <t>Total</t>
  </si>
  <si>
    <t>Start Month</t>
  </si>
  <si>
    <t>The monthly outlay does not change in this workbook. It stays at $900. The only question is whether the $1,600 refund hits in month four, month twelve, or not at all.</t>
  </si>
  <si>
    <t>Plan Controls</t>
  </si>
  <si>
    <t>Plan</t>
  </si>
  <si>
    <t>Base Extra</t>
  </si>
  <si>
    <t>Permanent Lift</t>
  </si>
  <si>
    <t>Temp Boost</t>
  </si>
  <si>
    <t>Temp Months</t>
  </si>
  <si>
    <t>Windfall</t>
  </si>
  <si>
    <t>Plan Note</t>
  </si>
  <si>
    <t>Windfall Month</t>
  </si>
  <si>
    <t>No windfall</t>
  </si>
  <si>
    <t>Baseline plan with no lump-sum help.</t>
  </si>
  <si>
    <t>July 2026 windfall</t>
  </si>
  <si>
    <t>Applies the tax refund in month four instead of waiting.</t>
  </si>
  <si>
    <t>March 2027 windfall</t>
  </si>
  <si>
    <t>Holds the same refund until month twelve.</t>
  </si>
  <si>
    <t>Begin</t>
  </si>
  <si>
    <t>Interest</t>
  </si>
  <si>
    <t>Minimum</t>
  </si>
  <si>
    <t>Extra</t>
  </si>
  <si>
    <t>End</t>
  </si>
  <si>
    <t>Timeline</t>
  </si>
  <si>
    <t>Month</t>
  </si>
  <si>
    <t>Period</t>
  </si>
  <si>
    <t>Scheduled Extra</t>
  </si>
  <si>
    <t>Extra Pool</t>
  </si>
  <si>
    <t>Focus Debt</t>
  </si>
  <si>
    <t>Interest Total</t>
  </si>
  <si>
    <t>Balance Total</t>
  </si>
  <si>
    <t>Same Refund, Different Month</t>
  </si>
  <si>
    <t>Metric</t>
  </si>
  <si>
    <t>July 2026</t>
  </si>
  <si>
    <t>March 2027</t>
  </si>
  <si>
    <t>Opening outlay</t>
  </si>
  <si>
    <t>Debt-free month</t>
  </si>
  <si>
    <t>Months to payoff</t>
  </si>
  <si>
    <t>Total interest</t>
  </si>
  <si>
    <t>Store Card paid</t>
  </si>
  <si>
    <t>Visa paid</t>
  </si>
  <si>
    <t>Balance after 12 months</t>
  </si>
  <si>
    <t>Timing Gaps</t>
  </si>
  <si>
    <t>July vs no-windfall months saved</t>
  </si>
  <si>
    <t>July vs no-windfall interest saved</t>
  </si>
  <si>
    <t>July vs March months saved</t>
  </si>
  <si>
    <t>July vs March interest saved</t>
  </si>
  <si>
    <t>Store Card earlier</t>
  </si>
  <si>
    <t>The same refund works harder in July 2026 because the Store Card is still carrying its full 28.99% APR. Waiting until March 2027 still helps, but more interest has already leaked out by then.</t>
  </si>
  <si>
    <t>Fast Payoff Windfall Timing Tips</t>
  </si>
  <si>
    <t>How to read the refund test</t>
  </si>
  <si>
    <t>- If the refund exists either way, speed usually comes from timing rather than from splitting the money across every account.</t>
  </si>
  <si>
    <t>- The early-refund line falls faster because the expensive card leaves the plan before another holiday season of interest charges.</t>
  </si>
  <si>
    <t>When to hold cash instead</t>
  </si>
  <si>
    <t>- If the refund is your only buffer and a new emergency would send you back to a card, keep some cash before chasing the earlier payoff month.</t>
  </si>
  <si>
    <t>- A promotional balance or deferred-interest store purchase can change which debt deserves the refund first.</t>
  </si>
  <si>
    <t>Explore more tools:</t>
  </si>
</sst>
</file>

<file path=xl/styles.xml><?xml version="1.0" encoding="utf-8"?>
<styleSheet xmlns="http://schemas.openxmlformats.org/spreadsheetml/2006/main">
  <numFmts count="3">
    <numFmt numFmtId="164" formatCode="$#,##0.00"/>
    <numFmt numFmtId="165" formatCode="0.00%"/>
    <numFmt numFmtId="166" formatCode="mm/dd/yyyy"/>
  </numFmts>
  <fonts count="8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1" fontId="0" fillId="4" borderId="1" xfId="0" applyNumberForma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166" fontId="0" fillId="4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Store Card Balance In The First 12 Months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No windfall</c:v>
          </c:tx>
          <c:spPr>
            <a:ln w="28575">
              <a:solidFill>
                <a:srgbClr val="4472C4"/>
              </a:solidFill>
            </a:ln>
          </c:spPr>
          <c:marker>
            <c:symbol val="none"/>
          </c:marker>
          <c:cat>
            <c:strRef>
              <c:f>'No_Windfall_Schedule'!$B$5:$B$16</c:f>
              <c:strCache>
                <c:ptCount val="12"/>
                <c:pt idx="0">
                  <c:v>Apr 2026</c:v>
                </c:pt>
                <c:pt idx="1">
                  <c:v>May 2026</c:v>
                </c:pt>
                <c:pt idx="2">
                  <c:v>Jun 2026</c:v>
                </c:pt>
                <c:pt idx="3">
                  <c:v>Jul 2026</c:v>
                </c:pt>
                <c:pt idx="4">
                  <c:v>Aug 2026</c:v>
                </c:pt>
                <c:pt idx="5">
                  <c:v>Sep 2026</c:v>
                </c:pt>
                <c:pt idx="6">
                  <c:v>Oct 2026</c:v>
                </c:pt>
                <c:pt idx="7">
                  <c:v>Nov 2026</c:v>
                </c:pt>
                <c:pt idx="8">
                  <c:v>Dec 2026</c:v>
                </c:pt>
                <c:pt idx="9">
                  <c:v>Jan 2027</c:v>
                </c:pt>
                <c:pt idx="10">
                  <c:v>Feb 2027</c:v>
                </c:pt>
                <c:pt idx="11">
                  <c:v>Mar 2027</c:v>
                </c:pt>
              </c:strCache>
            </c:strRef>
          </c:cat>
          <c:val>
            <c:numRef>
              <c:f>'No_Windfall_Schedule'!$G$5:$G$16</c:f>
              <c:numCache>
                <c:formatCode>General</c:formatCode>
                <c:ptCount val="12"/>
                <c:pt idx="0">
                  <c:v>2693.06</c:v>
                </c:pt>
                <c:pt idx="1">
                  <c:v>2481.12</c:v>
                </c:pt>
                <c:pt idx="2">
                  <c:v>2264.06</c:v>
                </c:pt>
                <c:pt idx="3">
                  <c:v>2041.76</c:v>
                </c:pt>
                <c:pt idx="4">
                  <c:v>1814.09</c:v>
                </c:pt>
                <c:pt idx="5">
                  <c:v>1580.92</c:v>
                </c:pt>
                <c:pt idx="6">
                  <c:v>1342.11</c:v>
                </c:pt>
                <c:pt idx="7">
                  <c:v>1097.53</c:v>
                </c:pt>
                <c:pt idx="8">
                  <c:v>847.04</c:v>
                </c:pt>
                <c:pt idx="9">
                  <c:v>590.5</c:v>
                </c:pt>
                <c:pt idx="10">
                  <c:v>327.77</c:v>
                </c:pt>
                <c:pt idx="11">
                  <c:v>58.69</c:v>
                </c:pt>
              </c:numCache>
            </c:numRef>
          </c:val>
        </c:ser>
        <c:ser>
          <c:idx val="1"/>
          <c:order val="1"/>
          <c:tx>
            <c:v>July 2026 windfall</c:v>
          </c:tx>
          <c:spPr>
            <a:ln w="28575">
              <a:solidFill>
                <a:srgbClr val="70AD47"/>
              </a:solidFill>
            </a:ln>
          </c:spPr>
          <c:marker>
            <c:symbol val="none"/>
          </c:marker>
          <c:cat>
            <c:strRef>
              <c:f>'Early_Windfall_Schedule'!$B$5:$B$16</c:f>
              <c:strCache>
                <c:ptCount val="12"/>
                <c:pt idx="0">
                  <c:v>Apr 2026</c:v>
                </c:pt>
                <c:pt idx="1">
                  <c:v>May 2026</c:v>
                </c:pt>
                <c:pt idx="2">
                  <c:v>Jun 2026</c:v>
                </c:pt>
                <c:pt idx="3">
                  <c:v>Jul 2026</c:v>
                </c:pt>
                <c:pt idx="4">
                  <c:v>Aug 2026</c:v>
                </c:pt>
                <c:pt idx="5">
                  <c:v>Sep 2026</c:v>
                </c:pt>
                <c:pt idx="6">
                  <c:v>Oct 2026</c:v>
                </c:pt>
                <c:pt idx="7">
                  <c:v>Nov 2026</c:v>
                </c:pt>
                <c:pt idx="8">
                  <c:v>Dec 2026</c:v>
                </c:pt>
                <c:pt idx="9">
                  <c:v>Jan 2027</c:v>
                </c:pt>
                <c:pt idx="10">
                  <c:v>Feb 2027</c:v>
                </c:pt>
                <c:pt idx="11">
                  <c:v>Mar 2027</c:v>
                </c:pt>
              </c:strCache>
            </c:strRef>
          </c:cat>
          <c:val>
            <c:numRef>
              <c:f>'Early_Windfall_Schedule'!$G$5:$G$16</c:f>
              <c:numCache>
                <c:formatCode>General</c:formatCode>
                <c:ptCount val="12"/>
                <c:pt idx="0">
                  <c:v>2693.06</c:v>
                </c:pt>
                <c:pt idx="1">
                  <c:v>2481.12</c:v>
                </c:pt>
                <c:pt idx="2">
                  <c:v>2264.06</c:v>
                </c:pt>
                <c:pt idx="3">
                  <c:v>441.76</c:v>
                </c:pt>
                <c:pt idx="4">
                  <c:v>175.43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</c:ser>
        <c:ser>
          <c:idx val="2"/>
          <c:order val="2"/>
          <c:tx>
            <c:v>March 2027 windfall</c:v>
          </c:tx>
          <c:spPr>
            <a:ln w="28575">
              <a:solidFill>
                <a:srgbClr val="ED7D31"/>
              </a:solidFill>
            </a:ln>
          </c:spPr>
          <c:marker>
            <c:symbol val="none"/>
          </c:marker>
          <c:cat>
            <c:strRef>
              <c:f>'Late_Windfall_Schedule'!$B$5:$B$16</c:f>
              <c:strCache>
                <c:ptCount val="12"/>
                <c:pt idx="0">
                  <c:v>Apr 2026</c:v>
                </c:pt>
                <c:pt idx="1">
                  <c:v>May 2026</c:v>
                </c:pt>
                <c:pt idx="2">
                  <c:v>Jun 2026</c:v>
                </c:pt>
                <c:pt idx="3">
                  <c:v>Jul 2026</c:v>
                </c:pt>
                <c:pt idx="4">
                  <c:v>Aug 2026</c:v>
                </c:pt>
                <c:pt idx="5">
                  <c:v>Sep 2026</c:v>
                </c:pt>
                <c:pt idx="6">
                  <c:v>Oct 2026</c:v>
                </c:pt>
                <c:pt idx="7">
                  <c:v>Nov 2026</c:v>
                </c:pt>
                <c:pt idx="8">
                  <c:v>Dec 2026</c:v>
                </c:pt>
                <c:pt idx="9">
                  <c:v>Jan 2027</c:v>
                </c:pt>
                <c:pt idx="10">
                  <c:v>Feb 2027</c:v>
                </c:pt>
                <c:pt idx="11">
                  <c:v>Mar 2027</c:v>
                </c:pt>
              </c:strCache>
            </c:strRef>
          </c:cat>
          <c:val>
            <c:numRef>
              <c:f>'Late_Windfall_Schedule'!$G$5:$G$16</c:f>
              <c:numCache>
                <c:formatCode>General</c:formatCode>
                <c:ptCount val="12"/>
                <c:pt idx="0">
                  <c:v>2693.06</c:v>
                </c:pt>
                <c:pt idx="1">
                  <c:v>2481.12</c:v>
                </c:pt>
                <c:pt idx="2">
                  <c:v>2264.06</c:v>
                </c:pt>
                <c:pt idx="3">
                  <c:v>2041.76</c:v>
                </c:pt>
                <c:pt idx="4">
                  <c:v>1814.09</c:v>
                </c:pt>
                <c:pt idx="5">
                  <c:v>1580.92</c:v>
                </c:pt>
                <c:pt idx="6">
                  <c:v>1342.11</c:v>
                </c:pt>
                <c:pt idx="7">
                  <c:v>1097.53</c:v>
                </c:pt>
                <c:pt idx="8">
                  <c:v>847.04</c:v>
                </c:pt>
                <c:pt idx="9">
                  <c:v>590.5</c:v>
                </c:pt>
                <c:pt idx="10">
                  <c:v>327.77</c:v>
                </c:pt>
                <c:pt idx="11">
                  <c:v>0.0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numFmt formatCode="$#,##0" sourceLinked="0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14</xdr:col>
      <xdr:colOff>352425</xdr:colOff>
      <xdr:row>22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/newsletter?src=fast-payoff-windfall-timing.xlsx" TargetMode="External"/><Relationship Id="rId2" Type="http://schemas.openxmlformats.org/officeDocument/2006/relationships/hyperlink" Target="https://DebtPayoffSpreadsheet.org" TargetMode="Externa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9"/>
  <sheetViews>
    <sheetView tabSelected="1" workbookViewId="0"/>
  </sheetViews>
  <sheetFormatPr defaultRowHeight="15"/>
  <cols>
    <col min="1" max="1" width="22.7109375" customWidth="1"/>
    <col min="2" max="2" width="90.7109375" customWidth="1"/>
  </cols>
  <sheetData>
    <row r="2" spans="1:2" ht="28" customHeight="1">
      <c r="A2" s="1" t="s">
        <v>0</v>
      </c>
      <c r="B2" s="1"/>
    </row>
    <row r="3" spans="1:2">
      <c r="A3" s="2" t="s">
        <v>1</v>
      </c>
      <c r="B3" s="3" t="s">
        <v>2</v>
      </c>
    </row>
    <row r="4" spans="1:2">
      <c r="A4" s="2" t="s">
        <v>3</v>
      </c>
      <c r="B4" s="4" t="s">
        <v>4</v>
      </c>
    </row>
    <row r="6" spans="1:2">
      <c r="A6" s="2" t="s">
        <v>5</v>
      </c>
    </row>
    <row r="7" spans="1:2">
      <c r="B7" s="4" t="s">
        <v>6</v>
      </c>
    </row>
    <row r="8" spans="1:2">
      <c r="B8" s="4" t="s">
        <v>7</v>
      </c>
    </row>
    <row r="9" spans="1:2">
      <c r="B9" s="4" t="s">
        <v>8</v>
      </c>
    </row>
    <row r="10" spans="1:2">
      <c r="A10" s="2" t="s">
        <v>9</v>
      </c>
      <c r="B10" s="4" t="s">
        <v>10</v>
      </c>
    </row>
    <row r="11" spans="1:2">
      <c r="B11" s="4" t="s">
        <v>11</v>
      </c>
    </row>
    <row r="12" spans="1:2">
      <c r="B12" s="4" t="s">
        <v>12</v>
      </c>
    </row>
    <row r="13" spans="1:2">
      <c r="B13" s="4" t="s">
        <v>13</v>
      </c>
    </row>
    <row r="15" spans="1:2">
      <c r="A15" s="2" t="s">
        <v>14</v>
      </c>
      <c r="B15" s="3" t="s">
        <v>15</v>
      </c>
    </row>
    <row r="16" spans="1:2">
      <c r="A16" s="2" t="s">
        <v>16</v>
      </c>
      <c r="B16" s="5" t="s">
        <v>17</v>
      </c>
    </row>
    <row r="17" spans="1:2">
      <c r="A17" s="2" t="s">
        <v>18</v>
      </c>
      <c r="B17" s="5" t="s">
        <v>19</v>
      </c>
    </row>
    <row r="19" spans="1:2">
      <c r="A19" s="2" t="s">
        <v>20</v>
      </c>
      <c r="B19" s="4" t="s">
        <v>21</v>
      </c>
    </row>
  </sheetData>
  <sheetProtection sheet="1" objects="1" scenarios="1"/>
  <mergeCells count="1">
    <mergeCell ref="A2:B2"/>
  </mergeCells>
  <hyperlinks>
    <hyperlink ref="B16" r:id="rId1"/>
    <hyperlink ref="B17" r:id="rId2"/>
  </hyperlinks>
  <pageMargins left="0.7" right="0.7" top="0.75" bottom="0.75" header="0.3" footer="0.3"/>
  <headerFooter>
    <oddFooter>&amp;LFast Payoff Windfall Timing&amp;CDebtPayoffSpreadsheet.org&amp;Rv1.0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14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3.7109375" customWidth="1"/>
    <col min="2" max="2" width="14.7109375" customWidth="1"/>
    <col min="3" max="3" width="12.7109375" customWidth="1"/>
    <col min="4" max="4" width="14.7109375" customWidth="1"/>
    <col min="5" max="5" width="18.7109375" customWidth="1"/>
    <col min="6" max="6" width="34.7109375" customWidth="1"/>
    <col min="7" max="7" width="4.7109375" customWidth="1"/>
    <col min="8" max="13" width="14.7109375" customWidth="1"/>
    <col min="14" max="14" width="34.7109375" customWidth="1"/>
    <col min="15" max="15" width="14.7109375" customWidth="1"/>
  </cols>
  <sheetData>
    <row r="1" spans="1:15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A2" s="1" t="s">
        <v>23</v>
      </c>
      <c r="B2" s="1"/>
      <c r="C2" s="1"/>
      <c r="D2" s="1"/>
      <c r="E2" s="1"/>
      <c r="F2" s="1"/>
      <c r="H2" s="1" t="s">
        <v>47</v>
      </c>
      <c r="I2" s="1"/>
      <c r="J2" s="1"/>
      <c r="K2" s="1"/>
      <c r="L2" s="1"/>
      <c r="M2" s="1"/>
      <c r="N2" s="1"/>
      <c r="O2" s="1"/>
    </row>
    <row r="4" spans="1:15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  <c r="H4" s="7" t="s">
        <v>48</v>
      </c>
      <c r="I4" s="7" t="s">
        <v>49</v>
      </c>
      <c r="J4" s="7" t="s">
        <v>50</v>
      </c>
      <c r="K4" s="7" t="s">
        <v>51</v>
      </c>
      <c r="L4" s="7" t="s">
        <v>52</v>
      </c>
      <c r="M4" s="7" t="s">
        <v>53</v>
      </c>
      <c r="N4" s="7" t="s">
        <v>54</v>
      </c>
      <c r="O4" s="7" t="s">
        <v>55</v>
      </c>
    </row>
    <row r="5" spans="1:15">
      <c r="A5" s="8" t="s">
        <v>30</v>
      </c>
      <c r="B5" s="9">
        <v>1100</v>
      </c>
      <c r="C5" s="10">
        <v>0</v>
      </c>
      <c r="D5" s="9">
        <v>45</v>
      </c>
      <c r="E5" s="3" t="s">
        <v>31</v>
      </c>
      <c r="F5" s="4" t="s">
        <v>32</v>
      </c>
      <c r="H5" s="8" t="s">
        <v>56</v>
      </c>
      <c r="I5" s="9">
        <v>190</v>
      </c>
      <c r="J5" s="9">
        <v>0</v>
      </c>
      <c r="K5" s="9">
        <v>0</v>
      </c>
      <c r="L5" s="11">
        <v>0</v>
      </c>
      <c r="M5" s="9">
        <v>0</v>
      </c>
      <c r="N5" s="4" t="s">
        <v>57</v>
      </c>
      <c r="O5" s="11">
        <v>0</v>
      </c>
    </row>
    <row r="6" spans="1:15">
      <c r="A6" s="8" t="s">
        <v>33</v>
      </c>
      <c r="B6" s="9">
        <v>2900</v>
      </c>
      <c r="C6" s="10">
        <v>0.2899</v>
      </c>
      <c r="D6" s="9">
        <v>87</v>
      </c>
      <c r="E6" s="3" t="s">
        <v>34</v>
      </c>
      <c r="F6" s="4" t="s">
        <v>35</v>
      </c>
      <c r="H6" s="8" t="s">
        <v>58</v>
      </c>
      <c r="I6" s="9">
        <v>190</v>
      </c>
      <c r="J6" s="9">
        <v>0</v>
      </c>
      <c r="K6" s="9">
        <v>0</v>
      </c>
      <c r="L6" s="11">
        <v>0</v>
      </c>
      <c r="M6" s="9">
        <v>1600</v>
      </c>
      <c r="N6" s="4" t="s">
        <v>59</v>
      </c>
      <c r="O6" s="11">
        <v>4</v>
      </c>
    </row>
    <row r="7" spans="1:15">
      <c r="A7" s="8" t="s">
        <v>36</v>
      </c>
      <c r="B7" s="9">
        <v>6400</v>
      </c>
      <c r="C7" s="10">
        <v>0.2499</v>
      </c>
      <c r="D7" s="9">
        <v>192</v>
      </c>
      <c r="E7" s="3" t="s">
        <v>34</v>
      </c>
      <c r="F7" s="4" t="s">
        <v>37</v>
      </c>
      <c r="H7" s="8" t="s">
        <v>60</v>
      </c>
      <c r="I7" s="9">
        <v>190</v>
      </c>
      <c r="J7" s="9">
        <v>0</v>
      </c>
      <c r="K7" s="9">
        <v>0</v>
      </c>
      <c r="L7" s="11">
        <v>0</v>
      </c>
      <c r="M7" s="9">
        <v>1600</v>
      </c>
      <c r="N7" s="4" t="s">
        <v>61</v>
      </c>
      <c r="O7" s="11">
        <v>12</v>
      </c>
    </row>
    <row r="8" spans="1:15">
      <c r="A8" s="8" t="s">
        <v>38</v>
      </c>
      <c r="B8" s="9">
        <v>5800</v>
      </c>
      <c r="C8" s="10">
        <v>0.1249</v>
      </c>
      <c r="D8" s="9">
        <v>174</v>
      </c>
      <c r="E8" s="3" t="s">
        <v>39</v>
      </c>
      <c r="F8" s="4" t="s">
        <v>40</v>
      </c>
    </row>
    <row r="9" spans="1:15">
      <c r="A9" s="8" t="s">
        <v>41</v>
      </c>
      <c r="B9" s="9">
        <v>9700</v>
      </c>
      <c r="C9" s="10">
        <v>0.0624</v>
      </c>
      <c r="D9" s="9">
        <v>212</v>
      </c>
      <c r="E9" s="3" t="s">
        <v>42</v>
      </c>
      <c r="F9" s="4" t="s">
        <v>43</v>
      </c>
    </row>
    <row r="10" spans="1:15">
      <c r="A10" s="12" t="s">
        <v>44</v>
      </c>
      <c r="B10" s="13">
        <f>SUM(B5:B9)</f>
        <v>25900.0</v>
      </c>
      <c r="C10" s="12"/>
      <c r="D10" s="13">
        <f>SUM(D5:D9)</f>
        <v>710.0</v>
      </c>
      <c r="E10" s="12"/>
      <c r="F10" s="12"/>
    </row>
    <row r="12" spans="1:15">
      <c r="A12" s="14" t="s">
        <v>45</v>
      </c>
      <c r="B12" s="15">
        <v>46113</v>
      </c>
      <c r="D12" s="16" t="s">
        <v>46</v>
      </c>
      <c r="E12" s="16"/>
      <c r="F12" s="16"/>
    </row>
    <row r="13" spans="1:15">
      <c r="D13" s="16"/>
      <c r="E13" s="16"/>
      <c r="F13" s="16"/>
    </row>
    <row r="14" spans="1:15">
      <c r="D14" s="16"/>
      <c r="E14" s="16"/>
      <c r="F14" s="16"/>
    </row>
  </sheetData>
  <mergeCells count="4">
    <mergeCell ref="A1:O1"/>
    <mergeCell ref="A2:F2"/>
    <mergeCell ref="D12:F14"/>
    <mergeCell ref="H2:O2"/>
  </mergeCells>
  <pageMargins left="0.7" right="0.7" top="0.75" bottom="0.75" header="0.3" footer="0.3"/>
  <headerFooter>
    <oddFooter>&amp;LFast Payoff Windfall Timing&amp;CDebtPayoffSpreadsheet.org&amp;Rv1.0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G39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9.7109375" customWidth="1"/>
    <col min="2" max="27" width="12.7109375" customWidth="1"/>
    <col min="28" max="33" width="14.7109375" customWidth="1"/>
  </cols>
  <sheetData>
    <row r="1" spans="1:33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>
      <c r="A2" s="1" t="s">
        <v>56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>
      <c r="A3" s="12" t="s">
        <v>67</v>
      </c>
      <c r="B3" s="12"/>
      <c r="C3" s="12" t="s">
        <v>33</v>
      </c>
      <c r="D3" s="12"/>
      <c r="E3" s="12"/>
      <c r="F3" s="12"/>
      <c r="G3" s="12"/>
      <c r="H3" s="12" t="s">
        <v>36</v>
      </c>
      <c r="I3" s="12"/>
      <c r="J3" s="12"/>
      <c r="K3" s="12"/>
      <c r="L3" s="12"/>
      <c r="M3" s="12" t="s">
        <v>38</v>
      </c>
      <c r="N3" s="12"/>
      <c r="O3" s="12"/>
      <c r="P3" s="12"/>
      <c r="Q3" s="12"/>
      <c r="R3" s="12" t="s">
        <v>41</v>
      </c>
      <c r="S3" s="12"/>
      <c r="T3" s="12"/>
      <c r="U3" s="12"/>
      <c r="V3" s="12"/>
      <c r="W3" s="12" t="s">
        <v>30</v>
      </c>
      <c r="X3" s="12"/>
      <c r="Y3" s="12"/>
      <c r="Z3" s="12"/>
      <c r="AA3" s="12"/>
    </row>
    <row r="4" spans="1:33">
      <c r="A4" s="7" t="s">
        <v>68</v>
      </c>
      <c r="B4" s="7" t="s">
        <v>69</v>
      </c>
      <c r="C4" s="7" t="s">
        <v>62</v>
      </c>
      <c r="D4" s="7" t="s">
        <v>63</v>
      </c>
      <c r="E4" s="7" t="s">
        <v>64</v>
      </c>
      <c r="F4" s="7" t="s">
        <v>65</v>
      </c>
      <c r="G4" s="7" t="s">
        <v>66</v>
      </c>
      <c r="H4" s="7" t="s">
        <v>62</v>
      </c>
      <c r="I4" s="7" t="s">
        <v>63</v>
      </c>
      <c r="J4" s="7" t="s">
        <v>64</v>
      </c>
      <c r="K4" s="7" t="s">
        <v>65</v>
      </c>
      <c r="L4" s="7" t="s">
        <v>66</v>
      </c>
      <c r="M4" s="7" t="s">
        <v>62</v>
      </c>
      <c r="N4" s="7" t="s">
        <v>63</v>
      </c>
      <c r="O4" s="7" t="s">
        <v>64</v>
      </c>
      <c r="P4" s="7" t="s">
        <v>65</v>
      </c>
      <c r="Q4" s="7" t="s">
        <v>66</v>
      </c>
      <c r="R4" s="7" t="s">
        <v>62</v>
      </c>
      <c r="S4" s="7" t="s">
        <v>63</v>
      </c>
      <c r="T4" s="7" t="s">
        <v>64</v>
      </c>
      <c r="U4" s="7" t="s">
        <v>65</v>
      </c>
      <c r="V4" s="7" t="s">
        <v>66</v>
      </c>
      <c r="W4" s="7" t="s">
        <v>62</v>
      </c>
      <c r="X4" s="7" t="s">
        <v>63</v>
      </c>
      <c r="Y4" s="7" t="s">
        <v>64</v>
      </c>
      <c r="Z4" s="7" t="s">
        <v>65</v>
      </c>
      <c r="AA4" s="7" t="s">
        <v>66</v>
      </c>
      <c r="AB4" s="7" t="s">
        <v>70</v>
      </c>
      <c r="AC4" s="7" t="s">
        <v>53</v>
      </c>
      <c r="AD4" s="7" t="s">
        <v>71</v>
      </c>
      <c r="AE4" s="7" t="s">
        <v>72</v>
      </c>
      <c r="AF4" s="7" t="s">
        <v>73</v>
      </c>
      <c r="AG4" s="7" t="s">
        <v>74</v>
      </c>
    </row>
    <row r="5" spans="1:33">
      <c r="A5" s="17">
        <f>ROW()-3</f>
        <v>1</v>
      </c>
      <c r="B5" s="18" t="str">
        <f>TEXT(EDATE(StartDate,A5-1),"mmm yyyy")</f>
        <v>Apr 2026</v>
      </c>
      <c r="C5" s="13">
        <f>StoreCardBalance</f>
        <v>2900.0</v>
      </c>
      <c r="D5" s="13">
        <f>ROUND(IF($C$5&lt;=0,0,$C$5*StoreCardAPR/12),2)</f>
        <v>70.06</v>
      </c>
      <c r="E5" s="13">
        <f>ROUND(IF($C$5&lt;=0,0,MIN(StoreCardMinPayment,$C$5+$D$5)),2)</f>
        <v>87.0</v>
      </c>
      <c r="F5" s="13">
        <f>ROUND(IF($C$5&lt;=0,0,MIN(MAX(0,$C$5+$D$5-$E$5),MAX(0,$AD$5))),2)</f>
        <v>190.0</v>
      </c>
      <c r="G5" s="13">
        <f>ROUND(MAX(0,$C$5+$D$5-$E$5-$F$5),2)</f>
        <v>2693.06</v>
      </c>
      <c r="H5" s="13">
        <f>CreditUnionVisaBalance</f>
        <v>6400.0</v>
      </c>
      <c r="I5" s="13">
        <f>ROUND(IF($H$5&lt;=0,0,$H$5*CreditUnionVisaAPR/12),2)</f>
        <v>133.28</v>
      </c>
      <c r="J5" s="13">
        <f>ROUND(IF($H$5&lt;=0,0,MIN(CreditUnionVisaMinPayment,$H$5+$I$5)),2)</f>
        <v>192.0</v>
      </c>
      <c r="K5" s="13">
        <f>ROUND(IF($H$5&lt;=0,0,MIN(MAX(0,$H$5+$I$5-$J$5),MAX(0,$AD$5-$F$5))),2)</f>
        <v>0.0</v>
      </c>
      <c r="L5" s="13">
        <f>ROUND(MAX(0,$H$5+$I$5-$J$5-$K$5),2)</f>
        <v>6341.28</v>
      </c>
      <c r="M5" s="13">
        <f>PersonalLoanBalance</f>
        <v>5800.0</v>
      </c>
      <c r="N5" s="13">
        <f>ROUND(IF($M$5&lt;=0,0,$M$5*PersonalLoanAPR/12),2)</f>
        <v>60.37</v>
      </c>
      <c r="O5" s="13">
        <f>ROUND(IF($M$5&lt;=0,0,MIN(PersonalLoanMinPayment,$M$5+$N$5)),2)</f>
        <v>174.0</v>
      </c>
      <c r="P5" s="13">
        <f>ROUND(IF($M$5&lt;=0,0,MIN(MAX(0,$M$5+$N$5-$O$5),MAX(0,$AD$5-$F$5-$K$5))),2)</f>
        <v>0.0</v>
      </c>
      <c r="Q5" s="13">
        <f>ROUND(MAX(0,$M$5+$N$5-$O$5-$P$5),2)</f>
        <v>5686.37</v>
      </c>
      <c r="R5" s="13">
        <f>UsedAutoLoanBalance</f>
        <v>9700.0</v>
      </c>
      <c r="S5" s="13">
        <f>ROUND(IF($R$5&lt;=0,0,$R$5*UsedAutoLoanAPR/12),2)</f>
        <v>50.44</v>
      </c>
      <c r="T5" s="13">
        <f>ROUND(IF($R$5&lt;=0,0,MIN(UsedAutoLoanMinPayment,$R$5+$S$5)),2)</f>
        <v>212.0</v>
      </c>
      <c r="U5" s="13">
        <f>ROUND(IF($R$5&lt;=0,0,MIN(MAX(0,$R$5+$S$5-$T$5),MAX(0,$AD$5-$F$5-$K$5-$P$5))),2)</f>
        <v>0.0</v>
      </c>
      <c r="V5" s="13">
        <f>ROUND(MAX(0,$R$5+$S$5-$T$5-$U$5),2)</f>
        <v>9538.44</v>
      </c>
      <c r="W5" s="13">
        <f>MedicalPlanBalance</f>
        <v>1100.0</v>
      </c>
      <c r="X5" s="13">
        <f>ROUND(IF($W$5&lt;=0,0,$W$5*MedicalPlanAPR/12),2)</f>
        <v>0.0</v>
      </c>
      <c r="Y5" s="13">
        <f>ROUND(IF($W$5&lt;=0,0,MIN(MedicalPlanMinPayment,$W$5+$X$5)),2)</f>
        <v>45.0</v>
      </c>
      <c r="Z5" s="13">
        <f>ROUND(IF($W$5&lt;=0,0,MIN(MAX(0,$W$5+$X$5-$Y$5),MAX(0,$AD$5-$F$5-$K$5-$P$5-$U$5))),2)</f>
        <v>0.0</v>
      </c>
      <c r="AA5" s="13">
        <f>ROUND(MAX(0,$W$5+$X$5-$Y$5-$Z$5),2)</f>
        <v>1055.0</v>
      </c>
      <c r="AB5" s="13">
        <f>ROUND(NoWindfallBaseExtra+NoWindfallPermanentLift+IF(A5&lt;=NoWindfallTempMonths,NoWindfallTempBoost,0),2)</f>
        <v>190.0</v>
      </c>
      <c r="AC5" s="13">
        <f>IF(A5=NoWindfallWindfallMonth,NoWindfallWindfall,0)</f>
        <v>0.0</v>
      </c>
      <c r="AD5" s="13">
        <f>ROUND($AB$5+$AC$5+0,2)</f>
        <v>190.0</v>
      </c>
      <c r="AE5" s="18" t="str">
        <f>IF($F$5&gt;0,Inputs!A6,IF($K$5&gt;0,Inputs!A7,IF($P$5&gt;0,Inputs!A8,IF($U$5&gt;0,Inputs!A9,IF($Z$5&gt;0,Inputs!A5,"")))))</f>
        <v>Store Card</v>
      </c>
      <c r="AF5" s="13">
        <f>ROUND(SUM($D$5,$I$5,$N$5,$S$5,$X$5),2)</f>
        <v>314.15</v>
      </c>
      <c r="AG5" s="13">
        <f>ROUND(SUM($G$5,$L$5,$Q$5,$V$5,$AA$5),2)</f>
        <v>25314.15</v>
      </c>
    </row>
    <row r="6" spans="1:33">
      <c r="A6" s="17">
        <f>ROW()-3</f>
        <v>2</v>
      </c>
      <c r="B6" s="18" t="str">
        <f>TEXT(EDATE(StartDate,A6-1),"mmm yyyy")</f>
        <v>May 2026</v>
      </c>
      <c r="C6" s="13">
        <f>$G$5</f>
        <v>2693.06</v>
      </c>
      <c r="D6" s="13">
        <f>ROUND(IF($C$6&lt;=0,0,$C$6*StoreCardAPR/12),2)</f>
        <v>65.06</v>
      </c>
      <c r="E6" s="13">
        <f>ROUND(IF($C$6&lt;=0,0,MIN(StoreCardMinPayment,$C$6+$D$6)),2)</f>
        <v>87.0</v>
      </c>
      <c r="F6" s="13">
        <f>ROUND(IF($C$6&lt;=0,0,MIN(MAX(0,$C$6+$D$6-$E$6),MAX(0,$AD$6))),2)</f>
        <v>190.0</v>
      </c>
      <c r="G6" s="13">
        <f>ROUND(MAX(0,$C$6+$D$6-$E$6-$F$6),2)</f>
        <v>2481.12</v>
      </c>
      <c r="H6" s="13">
        <f>$L$5</f>
        <v>6341.28</v>
      </c>
      <c r="I6" s="13">
        <f>ROUND(IF($H$6&lt;=0,0,$H$6*CreditUnionVisaAPR/12),2)</f>
        <v>132.06</v>
      </c>
      <c r="J6" s="13">
        <f>ROUND(IF($H$6&lt;=0,0,MIN(CreditUnionVisaMinPayment,$H$6+$I$6)),2)</f>
        <v>192.0</v>
      </c>
      <c r="K6" s="13">
        <f>ROUND(IF($H$6&lt;=0,0,MIN(MAX(0,$H$6+$I$6-$J$6),MAX(0,$AD$6-$F$6))),2)</f>
        <v>0.0</v>
      </c>
      <c r="L6" s="13">
        <f>ROUND(MAX(0,$H$6+$I$6-$J$6-$K$6),2)</f>
        <v>6281.34</v>
      </c>
      <c r="M6" s="13">
        <f>$Q$5</f>
        <v>5686.37</v>
      </c>
      <c r="N6" s="13">
        <f>ROUND(IF($M$6&lt;=0,0,$M$6*PersonalLoanAPR/12),2)</f>
        <v>59.19</v>
      </c>
      <c r="O6" s="13">
        <f>ROUND(IF($M$6&lt;=0,0,MIN(PersonalLoanMinPayment,$M$6+$N$6)),2)</f>
        <v>174.0</v>
      </c>
      <c r="P6" s="13">
        <f>ROUND(IF($M$6&lt;=0,0,MIN(MAX(0,$M$6+$N$6-$O$6),MAX(0,$AD$6-$F$6-$K$6))),2)</f>
        <v>0.0</v>
      </c>
      <c r="Q6" s="13">
        <f>ROUND(MAX(0,$M$6+$N$6-$O$6-$P$6),2)</f>
        <v>5571.56</v>
      </c>
      <c r="R6" s="13">
        <f>$V$5</f>
        <v>9538.44</v>
      </c>
      <c r="S6" s="13">
        <f>ROUND(IF($R$6&lt;=0,0,$R$6*UsedAutoLoanAPR/12),2)</f>
        <v>49.6</v>
      </c>
      <c r="T6" s="13">
        <f>ROUND(IF($R$6&lt;=0,0,MIN(UsedAutoLoanMinPayment,$R$6+$S$6)),2)</f>
        <v>212.0</v>
      </c>
      <c r="U6" s="13">
        <f>ROUND(IF($R$6&lt;=0,0,MIN(MAX(0,$R$6+$S$6-$T$6),MAX(0,$AD$6-$F$6-$K$6-$P$6))),2)</f>
        <v>0.0</v>
      </c>
      <c r="V6" s="13">
        <f>ROUND(MAX(0,$R$6+$S$6-$T$6-$U$6),2)</f>
        <v>9376.04</v>
      </c>
      <c r="W6" s="13">
        <f>$AA$5</f>
        <v>1055.0</v>
      </c>
      <c r="X6" s="13">
        <f>ROUND(IF($W$6&lt;=0,0,$W$6*MedicalPlanAPR/12),2)</f>
        <v>0.0</v>
      </c>
      <c r="Y6" s="13">
        <f>ROUND(IF($W$6&lt;=0,0,MIN(MedicalPlanMinPayment,$W$6+$X$6)),2)</f>
        <v>45.0</v>
      </c>
      <c r="Z6" s="13">
        <f>ROUND(IF($W$6&lt;=0,0,MIN(MAX(0,$W$6+$X$6-$Y$6),MAX(0,$AD$6-$F$6-$K$6-$P$6-$U$6))),2)</f>
        <v>0.0</v>
      </c>
      <c r="AA6" s="13">
        <f>ROUND(MAX(0,$W$6+$X$6-$Y$6-$Z$6),2)</f>
        <v>1010.0</v>
      </c>
      <c r="AB6" s="13">
        <f>ROUND(NoWindfallBaseExtra+NoWindfallPermanentLift+IF(A6&lt;=NoWindfallTempMonths,NoWindfallTempBoost,0),2)</f>
        <v>190.0</v>
      </c>
      <c r="AC6" s="13">
        <f>IF(A6=NoWindfallWindfallMonth,NoWindfallWindfall,0)</f>
        <v>0.0</v>
      </c>
      <c r="AD6" s="13">
        <f>ROUND($AB$6+$AC$6+IF($G$5&lt;=0,StoreCardMinPayment,0)+IF($L$5&lt;=0,CreditUnionVisaMinPayment,0)+IF($Q$5&lt;=0,PersonalLoanMinPayment,0)+IF($V$5&lt;=0,UsedAutoLoanMinPayment,0)+IF($AA$5&lt;=0,MedicalPlanMinPayment,0),2)</f>
        <v>190.0</v>
      </c>
      <c r="AE6" s="18" t="str">
        <f>IF($F$6&gt;0,Inputs!A6,IF($K$6&gt;0,Inputs!A7,IF($P$6&gt;0,Inputs!A8,IF($U$6&gt;0,Inputs!A9,IF($Z$6&gt;0,Inputs!A5,"")))))</f>
        <v>Store Card</v>
      </c>
      <c r="AF6" s="13">
        <f>ROUND(SUM($D$6,$I$6,$N$6,$S$6,$X$6),2)</f>
        <v>305.91</v>
      </c>
      <c r="AG6" s="13">
        <f>ROUND(SUM($G$6,$L$6,$Q$6,$V$6,$AA$6),2)</f>
        <v>24720.06</v>
      </c>
    </row>
    <row r="7" spans="1:33">
      <c r="A7" s="17">
        <f>ROW()-3</f>
        <v>3</v>
      </c>
      <c r="B7" s="18" t="str">
        <f>TEXT(EDATE(StartDate,A7-1),"mmm yyyy")</f>
        <v>Jun 2026</v>
      </c>
      <c r="C7" s="13">
        <f>$G$6</f>
        <v>2481.12</v>
      </c>
      <c r="D7" s="13">
        <f>ROUND(IF($C$7&lt;=0,0,$C$7*StoreCardAPR/12),2)</f>
        <v>59.94</v>
      </c>
      <c r="E7" s="13">
        <f>ROUND(IF($C$7&lt;=0,0,MIN(StoreCardMinPayment,$C$7+$D$7)),2)</f>
        <v>87.0</v>
      </c>
      <c r="F7" s="13">
        <f>ROUND(IF($C$7&lt;=0,0,MIN(MAX(0,$C$7+$D$7-$E$7),MAX(0,$AD$7))),2)</f>
        <v>190.0</v>
      </c>
      <c r="G7" s="13">
        <f>ROUND(MAX(0,$C$7+$D$7-$E$7-$F$7),2)</f>
        <v>2264.06</v>
      </c>
      <c r="H7" s="13">
        <f>$L$6</f>
        <v>6281.34</v>
      </c>
      <c r="I7" s="13">
        <f>ROUND(IF($H$7&lt;=0,0,$H$7*CreditUnionVisaAPR/12),2)</f>
        <v>130.81</v>
      </c>
      <c r="J7" s="13">
        <f>ROUND(IF($H$7&lt;=0,0,MIN(CreditUnionVisaMinPayment,$H$7+$I$7)),2)</f>
        <v>192.0</v>
      </c>
      <c r="K7" s="13">
        <f>ROUND(IF($H$7&lt;=0,0,MIN(MAX(0,$H$7+$I$7-$J$7),MAX(0,$AD$7-$F$7))),2)</f>
        <v>0.0</v>
      </c>
      <c r="L7" s="13">
        <f>ROUND(MAX(0,$H$7+$I$7-$J$7-$K$7),2)</f>
        <v>6220.15</v>
      </c>
      <c r="M7" s="13">
        <f>$Q$6</f>
        <v>5571.56</v>
      </c>
      <c r="N7" s="13">
        <f>ROUND(IF($M$7&lt;=0,0,$M$7*PersonalLoanAPR/12),2)</f>
        <v>57.99</v>
      </c>
      <c r="O7" s="13">
        <f>ROUND(IF($M$7&lt;=0,0,MIN(PersonalLoanMinPayment,$M$7+$N$7)),2)</f>
        <v>174.0</v>
      </c>
      <c r="P7" s="13">
        <f>ROUND(IF($M$7&lt;=0,0,MIN(MAX(0,$M$7+$N$7-$O$7),MAX(0,$AD$7-$F$7-$K$7))),2)</f>
        <v>0.0</v>
      </c>
      <c r="Q7" s="13">
        <f>ROUND(MAX(0,$M$7+$N$7-$O$7-$P$7),2)</f>
        <v>5455.55</v>
      </c>
      <c r="R7" s="13">
        <f>$V$6</f>
        <v>9376.04</v>
      </c>
      <c r="S7" s="13">
        <f>ROUND(IF($R$7&lt;=0,0,$R$7*UsedAutoLoanAPR/12),2)</f>
        <v>48.76</v>
      </c>
      <c r="T7" s="13">
        <f>ROUND(IF($R$7&lt;=0,0,MIN(UsedAutoLoanMinPayment,$R$7+$S$7)),2)</f>
        <v>212.0</v>
      </c>
      <c r="U7" s="13">
        <f>ROUND(IF($R$7&lt;=0,0,MIN(MAX(0,$R$7+$S$7-$T$7),MAX(0,$AD$7-$F$7-$K$7-$P$7))),2)</f>
        <v>0.0</v>
      </c>
      <c r="V7" s="13">
        <f>ROUND(MAX(0,$R$7+$S$7-$T$7-$U$7),2)</f>
        <v>9212.8</v>
      </c>
      <c r="W7" s="13">
        <f>$AA$6</f>
        <v>1010.0</v>
      </c>
      <c r="X7" s="13">
        <f>ROUND(IF($W$7&lt;=0,0,$W$7*MedicalPlanAPR/12),2)</f>
        <v>0.0</v>
      </c>
      <c r="Y7" s="13">
        <f>ROUND(IF($W$7&lt;=0,0,MIN(MedicalPlanMinPayment,$W$7+$X$7)),2)</f>
        <v>45.0</v>
      </c>
      <c r="Z7" s="13">
        <f>ROUND(IF($W$7&lt;=0,0,MIN(MAX(0,$W$7+$X$7-$Y$7),MAX(0,$AD$7-$F$7-$K$7-$P$7-$U$7))),2)</f>
        <v>0.0</v>
      </c>
      <c r="AA7" s="13">
        <f>ROUND(MAX(0,$W$7+$X$7-$Y$7-$Z$7),2)</f>
        <v>965.0</v>
      </c>
      <c r="AB7" s="13">
        <f>ROUND(NoWindfallBaseExtra+NoWindfallPermanentLift+IF(A7&lt;=NoWindfallTempMonths,NoWindfallTempBoost,0),2)</f>
        <v>190.0</v>
      </c>
      <c r="AC7" s="13">
        <f>IF(A7=NoWindfallWindfallMonth,NoWindfallWindfall,0)</f>
        <v>0.0</v>
      </c>
      <c r="AD7" s="13">
        <f>ROUND($AB$7+$AC$7+IF($G$6&lt;=0,StoreCardMinPayment,0)+IF($L$6&lt;=0,CreditUnionVisaMinPayment,0)+IF($Q$6&lt;=0,PersonalLoanMinPayment,0)+IF($V$6&lt;=0,UsedAutoLoanMinPayment,0)+IF($AA$6&lt;=0,MedicalPlanMinPayment,0),2)</f>
        <v>190.0</v>
      </c>
      <c r="AE7" s="18" t="str">
        <f>IF($F$7&gt;0,Inputs!A6,IF($K$7&gt;0,Inputs!A7,IF($P$7&gt;0,Inputs!A8,IF($U$7&gt;0,Inputs!A9,IF($Z$7&gt;0,Inputs!A5,"")))))</f>
        <v>Store Card</v>
      </c>
      <c r="AF7" s="13">
        <f>ROUND(SUM($D$7,$I$7,$N$7,$S$7,$X$7),2)</f>
        <v>297.5</v>
      </c>
      <c r="AG7" s="13">
        <f>ROUND(SUM($G$7,$L$7,$Q$7,$V$7,$AA$7),2)</f>
        <v>24117.56</v>
      </c>
    </row>
    <row r="8" spans="1:33">
      <c r="A8" s="17">
        <f>ROW()-3</f>
        <v>4</v>
      </c>
      <c r="B8" s="18" t="str">
        <f>TEXT(EDATE(StartDate,A8-1),"mmm yyyy")</f>
        <v>Jul 2026</v>
      </c>
      <c r="C8" s="13">
        <f>$G$7</f>
        <v>2264.06</v>
      </c>
      <c r="D8" s="13">
        <f>ROUND(IF($C$8&lt;=0,0,$C$8*StoreCardAPR/12),2)</f>
        <v>54.7</v>
      </c>
      <c r="E8" s="13">
        <f>ROUND(IF($C$8&lt;=0,0,MIN(StoreCardMinPayment,$C$8+$D$8)),2)</f>
        <v>87.0</v>
      </c>
      <c r="F8" s="13">
        <f>ROUND(IF($C$8&lt;=0,0,MIN(MAX(0,$C$8+$D$8-$E$8),MAX(0,$AD$8))),2)</f>
        <v>190.0</v>
      </c>
      <c r="G8" s="13">
        <f>ROUND(MAX(0,$C$8+$D$8-$E$8-$F$8),2)</f>
        <v>2041.76</v>
      </c>
      <c r="H8" s="13">
        <f>$L$7</f>
        <v>6220.15</v>
      </c>
      <c r="I8" s="13">
        <f>ROUND(IF($H$8&lt;=0,0,$H$8*CreditUnionVisaAPR/12),2)</f>
        <v>129.53</v>
      </c>
      <c r="J8" s="13">
        <f>ROUND(IF($H$8&lt;=0,0,MIN(CreditUnionVisaMinPayment,$H$8+$I$8)),2)</f>
        <v>192.0</v>
      </c>
      <c r="K8" s="13">
        <f>ROUND(IF($H$8&lt;=0,0,MIN(MAX(0,$H$8+$I$8-$J$8),MAX(0,$AD$8-$F$8))),2)</f>
        <v>0.0</v>
      </c>
      <c r="L8" s="13">
        <f>ROUND(MAX(0,$H$8+$I$8-$J$8-$K$8),2)</f>
        <v>6157.68</v>
      </c>
      <c r="M8" s="13">
        <f>$Q$7</f>
        <v>5455.55</v>
      </c>
      <c r="N8" s="13">
        <f>ROUND(IF($M$8&lt;=0,0,$M$8*PersonalLoanAPR/12),2)</f>
        <v>56.78</v>
      </c>
      <c r="O8" s="13">
        <f>ROUND(IF($M$8&lt;=0,0,MIN(PersonalLoanMinPayment,$M$8+$N$8)),2)</f>
        <v>174.0</v>
      </c>
      <c r="P8" s="13">
        <f>ROUND(IF($M$8&lt;=0,0,MIN(MAX(0,$M$8+$N$8-$O$8),MAX(0,$AD$8-$F$8-$K$8))),2)</f>
        <v>0.0</v>
      </c>
      <c r="Q8" s="13">
        <f>ROUND(MAX(0,$M$8+$N$8-$O$8-$P$8),2)</f>
        <v>5338.33</v>
      </c>
      <c r="R8" s="13">
        <f>$V$7</f>
        <v>9212.8</v>
      </c>
      <c r="S8" s="13">
        <f>ROUND(IF($R$8&lt;=0,0,$R$8*UsedAutoLoanAPR/12),2)</f>
        <v>47.91</v>
      </c>
      <c r="T8" s="13">
        <f>ROUND(IF($R$8&lt;=0,0,MIN(UsedAutoLoanMinPayment,$R$8+$S$8)),2)</f>
        <v>212.0</v>
      </c>
      <c r="U8" s="13">
        <f>ROUND(IF($R$8&lt;=0,0,MIN(MAX(0,$R$8+$S$8-$T$8),MAX(0,$AD$8-$F$8-$K$8-$P$8))),2)</f>
        <v>0.0</v>
      </c>
      <c r="V8" s="13">
        <f>ROUND(MAX(0,$R$8+$S$8-$T$8-$U$8),2)</f>
        <v>9048.71</v>
      </c>
      <c r="W8" s="13">
        <f>$AA$7</f>
        <v>965.0</v>
      </c>
      <c r="X8" s="13">
        <f>ROUND(IF($W$8&lt;=0,0,$W$8*MedicalPlanAPR/12),2)</f>
        <v>0.0</v>
      </c>
      <c r="Y8" s="13">
        <f>ROUND(IF($W$8&lt;=0,0,MIN(MedicalPlanMinPayment,$W$8+$X$8)),2)</f>
        <v>45.0</v>
      </c>
      <c r="Z8" s="13">
        <f>ROUND(IF($W$8&lt;=0,0,MIN(MAX(0,$W$8+$X$8-$Y$8),MAX(0,$AD$8-$F$8-$K$8-$P$8-$U$8))),2)</f>
        <v>0.0</v>
      </c>
      <c r="AA8" s="13">
        <f>ROUND(MAX(0,$W$8+$X$8-$Y$8-$Z$8),2)</f>
        <v>920.0</v>
      </c>
      <c r="AB8" s="13">
        <f>ROUND(NoWindfallBaseExtra+NoWindfallPermanentLift+IF(A8&lt;=NoWindfallTempMonths,NoWindfallTempBoost,0),2)</f>
        <v>190.0</v>
      </c>
      <c r="AC8" s="13">
        <f>IF(A8=NoWindfallWindfallMonth,NoWindfallWindfall,0)</f>
        <v>0.0</v>
      </c>
      <c r="AD8" s="13">
        <f>ROUND($AB$8+$AC$8+IF($G$7&lt;=0,StoreCardMinPayment,0)+IF($L$7&lt;=0,CreditUnionVisaMinPayment,0)+IF($Q$7&lt;=0,PersonalLoanMinPayment,0)+IF($V$7&lt;=0,UsedAutoLoanMinPayment,0)+IF($AA$7&lt;=0,MedicalPlanMinPayment,0),2)</f>
        <v>190.0</v>
      </c>
      <c r="AE8" s="18" t="str">
        <f>IF($F$8&gt;0,Inputs!A6,IF($K$8&gt;0,Inputs!A7,IF($P$8&gt;0,Inputs!A8,IF($U$8&gt;0,Inputs!A9,IF($Z$8&gt;0,Inputs!A5,"")))))</f>
        <v>Store Card</v>
      </c>
      <c r="AF8" s="13">
        <f>ROUND(SUM($D$8,$I$8,$N$8,$S$8,$X$8),2)</f>
        <v>288.92</v>
      </c>
      <c r="AG8" s="13">
        <f>ROUND(SUM($G$8,$L$8,$Q$8,$V$8,$AA$8),2)</f>
        <v>23506.48</v>
      </c>
    </row>
    <row r="9" spans="1:33">
      <c r="A9" s="17">
        <f>ROW()-3</f>
        <v>5</v>
      </c>
      <c r="B9" s="18" t="str">
        <f>TEXT(EDATE(StartDate,A9-1),"mmm yyyy")</f>
        <v>Aug 2026</v>
      </c>
      <c r="C9" s="13">
        <f>$G$8</f>
        <v>2041.76</v>
      </c>
      <c r="D9" s="13">
        <f>ROUND(IF($C$9&lt;=0,0,$C$9*StoreCardAPR/12),2)</f>
        <v>49.33</v>
      </c>
      <c r="E9" s="13">
        <f>ROUND(IF($C$9&lt;=0,0,MIN(StoreCardMinPayment,$C$9+$D$9)),2)</f>
        <v>87.0</v>
      </c>
      <c r="F9" s="13">
        <f>ROUND(IF($C$9&lt;=0,0,MIN(MAX(0,$C$9+$D$9-$E$9),MAX(0,$AD$9))),2)</f>
        <v>190.0</v>
      </c>
      <c r="G9" s="13">
        <f>ROUND(MAX(0,$C$9+$D$9-$E$9-$F$9),2)</f>
        <v>1814.09</v>
      </c>
      <c r="H9" s="13">
        <f>$L$8</f>
        <v>6157.68</v>
      </c>
      <c r="I9" s="13">
        <f>ROUND(IF($H$9&lt;=0,0,$H$9*CreditUnionVisaAPR/12),2)</f>
        <v>128.23</v>
      </c>
      <c r="J9" s="13">
        <f>ROUND(IF($H$9&lt;=0,0,MIN(CreditUnionVisaMinPayment,$H$9+$I$9)),2)</f>
        <v>192.0</v>
      </c>
      <c r="K9" s="13">
        <f>ROUND(IF($H$9&lt;=0,0,MIN(MAX(0,$H$9+$I$9-$J$9),MAX(0,$AD$9-$F$9))),2)</f>
        <v>0.0</v>
      </c>
      <c r="L9" s="13">
        <f>ROUND(MAX(0,$H$9+$I$9-$J$9-$K$9),2)</f>
        <v>6093.91</v>
      </c>
      <c r="M9" s="13">
        <f>$Q$8</f>
        <v>5338.33</v>
      </c>
      <c r="N9" s="13">
        <f>ROUND(IF($M$9&lt;=0,0,$M$9*PersonalLoanAPR/12),2)</f>
        <v>55.56</v>
      </c>
      <c r="O9" s="13">
        <f>ROUND(IF($M$9&lt;=0,0,MIN(PersonalLoanMinPayment,$M$9+$N$9)),2)</f>
        <v>174.0</v>
      </c>
      <c r="P9" s="13">
        <f>ROUND(IF($M$9&lt;=0,0,MIN(MAX(0,$M$9+$N$9-$O$9),MAX(0,$AD$9-$F$9-$K$9))),2)</f>
        <v>0.0</v>
      </c>
      <c r="Q9" s="13">
        <f>ROUND(MAX(0,$M$9+$N$9-$O$9-$P$9),2)</f>
        <v>5219.89</v>
      </c>
      <c r="R9" s="13">
        <f>$V$8</f>
        <v>9048.71</v>
      </c>
      <c r="S9" s="13">
        <f>ROUND(IF($R$9&lt;=0,0,$R$9*UsedAutoLoanAPR/12),2)</f>
        <v>47.05</v>
      </c>
      <c r="T9" s="13">
        <f>ROUND(IF($R$9&lt;=0,0,MIN(UsedAutoLoanMinPayment,$R$9+$S$9)),2)</f>
        <v>212.0</v>
      </c>
      <c r="U9" s="13">
        <f>ROUND(IF($R$9&lt;=0,0,MIN(MAX(0,$R$9+$S$9-$T$9),MAX(0,$AD$9-$F$9-$K$9-$P$9))),2)</f>
        <v>0.0</v>
      </c>
      <c r="V9" s="13">
        <f>ROUND(MAX(0,$R$9+$S$9-$T$9-$U$9),2)</f>
        <v>8883.76</v>
      </c>
      <c r="W9" s="13">
        <f>$AA$8</f>
        <v>920.0</v>
      </c>
      <c r="X9" s="13">
        <f>ROUND(IF($W$9&lt;=0,0,$W$9*MedicalPlanAPR/12),2)</f>
        <v>0.0</v>
      </c>
      <c r="Y9" s="13">
        <f>ROUND(IF($W$9&lt;=0,0,MIN(MedicalPlanMinPayment,$W$9+$X$9)),2)</f>
        <v>45.0</v>
      </c>
      <c r="Z9" s="13">
        <f>ROUND(IF($W$9&lt;=0,0,MIN(MAX(0,$W$9+$X$9-$Y$9),MAX(0,$AD$9-$F$9-$K$9-$P$9-$U$9))),2)</f>
        <v>0.0</v>
      </c>
      <c r="AA9" s="13">
        <f>ROUND(MAX(0,$W$9+$X$9-$Y$9-$Z$9),2)</f>
        <v>875.0</v>
      </c>
      <c r="AB9" s="13">
        <f>ROUND(NoWindfallBaseExtra+NoWindfallPermanentLift+IF(A9&lt;=NoWindfallTempMonths,NoWindfallTempBoost,0),2)</f>
        <v>190.0</v>
      </c>
      <c r="AC9" s="13">
        <f>IF(A9=NoWindfallWindfallMonth,NoWindfallWindfall,0)</f>
        <v>0.0</v>
      </c>
      <c r="AD9" s="13">
        <f>ROUND($AB$9+$AC$9+IF($G$8&lt;=0,StoreCardMinPayment,0)+IF($L$8&lt;=0,CreditUnionVisaMinPayment,0)+IF($Q$8&lt;=0,PersonalLoanMinPayment,0)+IF($V$8&lt;=0,UsedAutoLoanMinPayment,0)+IF($AA$8&lt;=0,MedicalPlanMinPayment,0),2)</f>
        <v>190.0</v>
      </c>
      <c r="AE9" s="18" t="str">
        <f>IF($F$9&gt;0,Inputs!A6,IF($K$9&gt;0,Inputs!A7,IF($P$9&gt;0,Inputs!A8,IF($U$9&gt;0,Inputs!A9,IF($Z$9&gt;0,Inputs!A5,"")))))</f>
        <v>Store Card</v>
      </c>
      <c r="AF9" s="13">
        <f>ROUND(SUM($D$9,$I$9,$N$9,$S$9,$X$9),2)</f>
        <v>280.17</v>
      </c>
      <c r="AG9" s="13">
        <f>ROUND(SUM($G$9,$L$9,$Q$9,$V$9,$AA$9),2)</f>
        <v>22886.65</v>
      </c>
    </row>
    <row r="10" spans="1:33">
      <c r="A10" s="17">
        <f>ROW()-3</f>
        <v>6</v>
      </c>
      <c r="B10" s="18" t="str">
        <f>TEXT(EDATE(StartDate,A10-1),"mmm yyyy")</f>
        <v>Sep 2026</v>
      </c>
      <c r="C10" s="13">
        <f>$G$9</f>
        <v>1814.09</v>
      </c>
      <c r="D10" s="13">
        <f>ROUND(IF($C$10&lt;=0,0,$C$10*StoreCardAPR/12),2)</f>
        <v>43.83</v>
      </c>
      <c r="E10" s="13">
        <f>ROUND(IF($C$10&lt;=0,0,MIN(StoreCardMinPayment,$C$10+$D$10)),2)</f>
        <v>87.0</v>
      </c>
      <c r="F10" s="13">
        <f>ROUND(IF($C$10&lt;=0,0,MIN(MAX(0,$C$10+$D$10-$E$10),MAX(0,$AD$10))),2)</f>
        <v>190.0</v>
      </c>
      <c r="G10" s="13">
        <f>ROUND(MAX(0,$C$10+$D$10-$E$10-$F$10),2)</f>
        <v>1580.92</v>
      </c>
      <c r="H10" s="13">
        <f>$L$9</f>
        <v>6093.91</v>
      </c>
      <c r="I10" s="13">
        <f>ROUND(IF($H$10&lt;=0,0,$H$10*CreditUnionVisaAPR/12),2)</f>
        <v>126.91</v>
      </c>
      <c r="J10" s="13">
        <f>ROUND(IF($H$10&lt;=0,0,MIN(CreditUnionVisaMinPayment,$H$10+$I$10)),2)</f>
        <v>192.0</v>
      </c>
      <c r="K10" s="13">
        <f>ROUND(IF($H$10&lt;=0,0,MIN(MAX(0,$H$10+$I$10-$J$10),MAX(0,$AD$10-$F$10))),2)</f>
        <v>0.0</v>
      </c>
      <c r="L10" s="13">
        <f>ROUND(MAX(0,$H$10+$I$10-$J$10-$K$10),2)</f>
        <v>6028.82</v>
      </c>
      <c r="M10" s="13">
        <f>$Q$9</f>
        <v>5219.89</v>
      </c>
      <c r="N10" s="13">
        <f>ROUND(IF($M$10&lt;=0,0,$M$10*PersonalLoanAPR/12),2)</f>
        <v>54.33</v>
      </c>
      <c r="O10" s="13">
        <f>ROUND(IF($M$10&lt;=0,0,MIN(PersonalLoanMinPayment,$M$10+$N$10)),2)</f>
        <v>174.0</v>
      </c>
      <c r="P10" s="13">
        <f>ROUND(IF($M$10&lt;=0,0,MIN(MAX(0,$M$10+$N$10-$O$10),MAX(0,$AD$10-$F$10-$K$10))),2)</f>
        <v>0.0</v>
      </c>
      <c r="Q10" s="13">
        <f>ROUND(MAX(0,$M$10+$N$10-$O$10-$P$10),2)</f>
        <v>5100.22</v>
      </c>
      <c r="R10" s="13">
        <f>$V$9</f>
        <v>8883.76</v>
      </c>
      <c r="S10" s="13">
        <f>ROUND(IF($R$10&lt;=0,0,$R$10*UsedAutoLoanAPR/12),2)</f>
        <v>46.2</v>
      </c>
      <c r="T10" s="13">
        <f>ROUND(IF($R$10&lt;=0,0,MIN(UsedAutoLoanMinPayment,$R$10+$S$10)),2)</f>
        <v>212.0</v>
      </c>
      <c r="U10" s="13">
        <f>ROUND(IF($R$10&lt;=0,0,MIN(MAX(0,$R$10+$S$10-$T$10),MAX(0,$AD$10-$F$10-$K$10-$P$10))),2)</f>
        <v>0.0</v>
      </c>
      <c r="V10" s="13">
        <f>ROUND(MAX(0,$R$10+$S$10-$T$10-$U$10),2)</f>
        <v>8717.96</v>
      </c>
      <c r="W10" s="13">
        <f>$AA$9</f>
        <v>875.0</v>
      </c>
      <c r="X10" s="13">
        <f>ROUND(IF($W$10&lt;=0,0,$W$10*MedicalPlanAPR/12),2)</f>
        <v>0.0</v>
      </c>
      <c r="Y10" s="13">
        <f>ROUND(IF($W$10&lt;=0,0,MIN(MedicalPlanMinPayment,$W$10+$X$10)),2)</f>
        <v>45.0</v>
      </c>
      <c r="Z10" s="13">
        <f>ROUND(IF($W$10&lt;=0,0,MIN(MAX(0,$W$10+$X$10-$Y$10),MAX(0,$AD$10-$F$10-$K$10-$P$10-$U$10))),2)</f>
        <v>0.0</v>
      </c>
      <c r="AA10" s="13">
        <f>ROUND(MAX(0,$W$10+$X$10-$Y$10-$Z$10),2)</f>
        <v>830.0</v>
      </c>
      <c r="AB10" s="13">
        <f>ROUND(NoWindfallBaseExtra+NoWindfallPermanentLift+IF(A10&lt;=NoWindfallTempMonths,NoWindfallTempBoost,0),2)</f>
        <v>190.0</v>
      </c>
      <c r="AC10" s="13">
        <f>IF(A10=NoWindfallWindfallMonth,NoWindfallWindfall,0)</f>
        <v>0.0</v>
      </c>
      <c r="AD10" s="13">
        <f>ROUND($AB$10+$AC$10+IF($G$9&lt;=0,StoreCardMinPayment,0)+IF($L$9&lt;=0,CreditUnionVisaMinPayment,0)+IF($Q$9&lt;=0,PersonalLoanMinPayment,0)+IF($V$9&lt;=0,UsedAutoLoanMinPayment,0)+IF($AA$9&lt;=0,MedicalPlanMinPayment,0),2)</f>
        <v>190.0</v>
      </c>
      <c r="AE10" s="18" t="str">
        <f>IF($F$10&gt;0,Inputs!A6,IF($K$10&gt;0,Inputs!A7,IF($P$10&gt;0,Inputs!A8,IF($U$10&gt;0,Inputs!A9,IF($Z$10&gt;0,Inputs!A5,"")))))</f>
        <v>Store Card</v>
      </c>
      <c r="AF10" s="13">
        <f>ROUND(SUM($D$10,$I$10,$N$10,$S$10,$X$10),2)</f>
        <v>271.27</v>
      </c>
      <c r="AG10" s="13">
        <f>ROUND(SUM($G$10,$L$10,$Q$10,$V$10,$AA$10),2)</f>
        <v>22257.92</v>
      </c>
    </row>
    <row r="11" spans="1:33">
      <c r="A11" s="17">
        <f>ROW()-3</f>
        <v>7</v>
      </c>
      <c r="B11" s="18" t="str">
        <f>TEXT(EDATE(StartDate,A11-1),"mmm yyyy")</f>
        <v>Oct 2026</v>
      </c>
      <c r="C11" s="13">
        <f>$G$10</f>
        <v>1580.92</v>
      </c>
      <c r="D11" s="13">
        <f>ROUND(IF($C$11&lt;=0,0,$C$11*StoreCardAPR/12),2)</f>
        <v>38.19</v>
      </c>
      <c r="E11" s="13">
        <f>ROUND(IF($C$11&lt;=0,0,MIN(StoreCardMinPayment,$C$11+$D$11)),2)</f>
        <v>87.0</v>
      </c>
      <c r="F11" s="13">
        <f>ROUND(IF($C$11&lt;=0,0,MIN(MAX(0,$C$11+$D$11-$E$11),MAX(0,$AD$11))),2)</f>
        <v>190.0</v>
      </c>
      <c r="G11" s="13">
        <f>ROUND(MAX(0,$C$11+$D$11-$E$11-$F$11),2)</f>
        <v>1342.11</v>
      </c>
      <c r="H11" s="13">
        <f>$L$10</f>
        <v>6028.82</v>
      </c>
      <c r="I11" s="13">
        <f>ROUND(IF($H$11&lt;=0,0,$H$11*CreditUnionVisaAPR/12),2)</f>
        <v>125.55</v>
      </c>
      <c r="J11" s="13">
        <f>ROUND(IF($H$11&lt;=0,0,MIN(CreditUnionVisaMinPayment,$H$11+$I$11)),2)</f>
        <v>192.0</v>
      </c>
      <c r="K11" s="13">
        <f>ROUND(IF($H$11&lt;=0,0,MIN(MAX(0,$H$11+$I$11-$J$11),MAX(0,$AD$11-$F$11))),2)</f>
        <v>0.0</v>
      </c>
      <c r="L11" s="13">
        <f>ROUND(MAX(0,$H$11+$I$11-$J$11-$K$11),2)</f>
        <v>5962.37</v>
      </c>
      <c r="M11" s="13">
        <f>$Q$10</f>
        <v>5100.22</v>
      </c>
      <c r="N11" s="13">
        <f>ROUND(IF($M$11&lt;=0,0,$M$11*PersonalLoanAPR/12),2)</f>
        <v>53.08</v>
      </c>
      <c r="O11" s="13">
        <f>ROUND(IF($M$11&lt;=0,0,MIN(PersonalLoanMinPayment,$M$11+$N$11)),2)</f>
        <v>174.0</v>
      </c>
      <c r="P11" s="13">
        <f>ROUND(IF($M$11&lt;=0,0,MIN(MAX(0,$M$11+$N$11-$O$11),MAX(0,$AD$11-$F$11-$K$11))),2)</f>
        <v>0.0</v>
      </c>
      <c r="Q11" s="13">
        <f>ROUND(MAX(0,$M$11+$N$11-$O$11-$P$11),2)</f>
        <v>4979.3</v>
      </c>
      <c r="R11" s="13">
        <f>$V$10</f>
        <v>8717.96</v>
      </c>
      <c r="S11" s="13">
        <f>ROUND(IF($R$11&lt;=0,0,$R$11*UsedAutoLoanAPR/12),2)</f>
        <v>45.33</v>
      </c>
      <c r="T11" s="13">
        <f>ROUND(IF($R$11&lt;=0,0,MIN(UsedAutoLoanMinPayment,$R$11+$S$11)),2)</f>
        <v>212.0</v>
      </c>
      <c r="U11" s="13">
        <f>ROUND(IF($R$11&lt;=0,0,MIN(MAX(0,$R$11+$S$11-$T$11),MAX(0,$AD$11-$F$11-$K$11-$P$11))),2)</f>
        <v>0.0</v>
      </c>
      <c r="V11" s="13">
        <f>ROUND(MAX(0,$R$11+$S$11-$T$11-$U$11),2)</f>
        <v>8551.29</v>
      </c>
      <c r="W11" s="13">
        <f>$AA$10</f>
        <v>830.0</v>
      </c>
      <c r="X11" s="13">
        <f>ROUND(IF($W$11&lt;=0,0,$W$11*MedicalPlanAPR/12),2)</f>
        <v>0.0</v>
      </c>
      <c r="Y11" s="13">
        <f>ROUND(IF($W$11&lt;=0,0,MIN(MedicalPlanMinPayment,$W$11+$X$11)),2)</f>
        <v>45.0</v>
      </c>
      <c r="Z11" s="13">
        <f>ROUND(IF($W$11&lt;=0,0,MIN(MAX(0,$W$11+$X$11-$Y$11),MAX(0,$AD$11-$F$11-$K$11-$P$11-$U$11))),2)</f>
        <v>0.0</v>
      </c>
      <c r="AA11" s="13">
        <f>ROUND(MAX(0,$W$11+$X$11-$Y$11-$Z$11),2)</f>
        <v>785.0</v>
      </c>
      <c r="AB11" s="13">
        <f>ROUND(NoWindfallBaseExtra+NoWindfallPermanentLift+IF(A11&lt;=NoWindfallTempMonths,NoWindfallTempBoost,0),2)</f>
        <v>190.0</v>
      </c>
      <c r="AC11" s="13">
        <f>IF(A11=NoWindfallWindfallMonth,NoWindfallWindfall,0)</f>
        <v>0.0</v>
      </c>
      <c r="AD11" s="13">
        <f>ROUND($AB$11+$AC$11+IF($G$10&lt;=0,StoreCardMinPayment,0)+IF($L$10&lt;=0,CreditUnionVisaMinPayment,0)+IF($Q$10&lt;=0,PersonalLoanMinPayment,0)+IF($V$10&lt;=0,UsedAutoLoanMinPayment,0)+IF($AA$10&lt;=0,MedicalPlanMinPayment,0),2)</f>
        <v>190.0</v>
      </c>
      <c r="AE11" s="18" t="str">
        <f>IF($F$11&gt;0,Inputs!A6,IF($K$11&gt;0,Inputs!A7,IF($P$11&gt;0,Inputs!A8,IF($U$11&gt;0,Inputs!A9,IF($Z$11&gt;0,Inputs!A5,"")))))</f>
        <v>Store Card</v>
      </c>
      <c r="AF11" s="13">
        <f>ROUND(SUM($D$11,$I$11,$N$11,$S$11,$X$11),2)</f>
        <v>262.15</v>
      </c>
      <c r="AG11" s="13">
        <f>ROUND(SUM($G$11,$L$11,$Q$11,$V$11,$AA$11),2)</f>
        <v>21620.07</v>
      </c>
    </row>
    <row r="12" spans="1:33">
      <c r="A12" s="17">
        <f>ROW()-3</f>
        <v>8</v>
      </c>
      <c r="B12" s="18" t="str">
        <f>TEXT(EDATE(StartDate,A12-1),"mmm yyyy")</f>
        <v>Nov 2026</v>
      </c>
      <c r="C12" s="13">
        <f>$G$11</f>
        <v>1342.11</v>
      </c>
      <c r="D12" s="13">
        <f>ROUND(IF($C$12&lt;=0,0,$C$12*StoreCardAPR/12),2)</f>
        <v>32.42</v>
      </c>
      <c r="E12" s="13">
        <f>ROUND(IF($C$12&lt;=0,0,MIN(StoreCardMinPayment,$C$12+$D$12)),2)</f>
        <v>87.0</v>
      </c>
      <c r="F12" s="13">
        <f>ROUND(IF($C$12&lt;=0,0,MIN(MAX(0,$C$12+$D$12-$E$12),MAX(0,$AD$12))),2)</f>
        <v>190.0</v>
      </c>
      <c r="G12" s="13">
        <f>ROUND(MAX(0,$C$12+$D$12-$E$12-$F$12),2)</f>
        <v>1097.53</v>
      </c>
      <c r="H12" s="13">
        <f>$L$11</f>
        <v>5962.37</v>
      </c>
      <c r="I12" s="13">
        <f>ROUND(IF($H$12&lt;=0,0,$H$12*CreditUnionVisaAPR/12),2)</f>
        <v>124.17</v>
      </c>
      <c r="J12" s="13">
        <f>ROUND(IF($H$12&lt;=0,0,MIN(CreditUnionVisaMinPayment,$H$12+$I$12)),2)</f>
        <v>192.0</v>
      </c>
      <c r="K12" s="13">
        <f>ROUND(IF($H$12&lt;=0,0,MIN(MAX(0,$H$12+$I$12-$J$12),MAX(0,$AD$12-$F$12))),2)</f>
        <v>0.0</v>
      </c>
      <c r="L12" s="13">
        <f>ROUND(MAX(0,$H$12+$I$12-$J$12-$K$12),2)</f>
        <v>5894.54</v>
      </c>
      <c r="M12" s="13">
        <f>$Q$11</f>
        <v>4979.3</v>
      </c>
      <c r="N12" s="13">
        <f>ROUND(IF($M$12&lt;=0,0,$M$12*PersonalLoanAPR/12),2)</f>
        <v>51.83</v>
      </c>
      <c r="O12" s="13">
        <f>ROUND(IF($M$12&lt;=0,0,MIN(PersonalLoanMinPayment,$M$12+$N$12)),2)</f>
        <v>174.0</v>
      </c>
      <c r="P12" s="13">
        <f>ROUND(IF($M$12&lt;=0,0,MIN(MAX(0,$M$12+$N$12-$O$12),MAX(0,$AD$12-$F$12-$K$12))),2)</f>
        <v>0.0</v>
      </c>
      <c r="Q12" s="13">
        <f>ROUND(MAX(0,$M$12+$N$12-$O$12-$P$12),2)</f>
        <v>4857.13</v>
      </c>
      <c r="R12" s="13">
        <f>$V$11</f>
        <v>8551.29</v>
      </c>
      <c r="S12" s="13">
        <f>ROUND(IF($R$12&lt;=0,0,$R$12*UsedAutoLoanAPR/12),2)</f>
        <v>44.47</v>
      </c>
      <c r="T12" s="13">
        <f>ROUND(IF($R$12&lt;=0,0,MIN(UsedAutoLoanMinPayment,$R$12+$S$12)),2)</f>
        <v>212.0</v>
      </c>
      <c r="U12" s="13">
        <f>ROUND(IF($R$12&lt;=0,0,MIN(MAX(0,$R$12+$S$12-$T$12),MAX(0,$AD$12-$F$12-$K$12-$P$12))),2)</f>
        <v>0.0</v>
      </c>
      <c r="V12" s="13">
        <f>ROUND(MAX(0,$R$12+$S$12-$T$12-$U$12),2)</f>
        <v>8383.76</v>
      </c>
      <c r="W12" s="13">
        <f>$AA$11</f>
        <v>785.0</v>
      </c>
      <c r="X12" s="13">
        <f>ROUND(IF($W$12&lt;=0,0,$W$12*MedicalPlanAPR/12),2)</f>
        <v>0.0</v>
      </c>
      <c r="Y12" s="13">
        <f>ROUND(IF($W$12&lt;=0,0,MIN(MedicalPlanMinPayment,$W$12+$X$12)),2)</f>
        <v>45.0</v>
      </c>
      <c r="Z12" s="13">
        <f>ROUND(IF($W$12&lt;=0,0,MIN(MAX(0,$W$12+$X$12-$Y$12),MAX(0,$AD$12-$F$12-$K$12-$P$12-$U$12))),2)</f>
        <v>0.0</v>
      </c>
      <c r="AA12" s="13">
        <f>ROUND(MAX(0,$W$12+$X$12-$Y$12-$Z$12),2)</f>
        <v>740.0</v>
      </c>
      <c r="AB12" s="13">
        <f>ROUND(NoWindfallBaseExtra+NoWindfallPermanentLift+IF(A12&lt;=NoWindfallTempMonths,NoWindfallTempBoost,0),2)</f>
        <v>190.0</v>
      </c>
      <c r="AC12" s="13">
        <f>IF(A12=NoWindfallWindfallMonth,NoWindfallWindfall,0)</f>
        <v>0.0</v>
      </c>
      <c r="AD12" s="13">
        <f>ROUND($AB$12+$AC$12+IF($G$11&lt;=0,StoreCardMinPayment,0)+IF($L$11&lt;=0,CreditUnionVisaMinPayment,0)+IF($Q$11&lt;=0,PersonalLoanMinPayment,0)+IF($V$11&lt;=0,UsedAutoLoanMinPayment,0)+IF($AA$11&lt;=0,MedicalPlanMinPayment,0),2)</f>
        <v>190.0</v>
      </c>
      <c r="AE12" s="18" t="str">
        <f>IF($F$12&gt;0,Inputs!A6,IF($K$12&gt;0,Inputs!A7,IF($P$12&gt;0,Inputs!A8,IF($U$12&gt;0,Inputs!A9,IF($Z$12&gt;0,Inputs!A5,"")))))</f>
        <v>Store Card</v>
      </c>
      <c r="AF12" s="13">
        <f>ROUND(SUM($D$12,$I$12,$N$12,$S$12,$X$12),2)</f>
        <v>252.89</v>
      </c>
      <c r="AG12" s="13">
        <f>ROUND(SUM($G$12,$L$12,$Q$12,$V$12,$AA$12),2)</f>
        <v>20972.96</v>
      </c>
    </row>
    <row r="13" spans="1:33">
      <c r="A13" s="17">
        <f>ROW()-3</f>
        <v>9</v>
      </c>
      <c r="B13" s="18" t="str">
        <f>TEXT(EDATE(StartDate,A13-1),"mmm yyyy")</f>
        <v>Dec 2026</v>
      </c>
      <c r="C13" s="13">
        <f>$G$12</f>
        <v>1097.53</v>
      </c>
      <c r="D13" s="13">
        <f>ROUND(IF($C$13&lt;=0,0,$C$13*StoreCardAPR/12),2)</f>
        <v>26.51</v>
      </c>
      <c r="E13" s="13">
        <f>ROUND(IF($C$13&lt;=0,0,MIN(StoreCardMinPayment,$C$13+$D$13)),2)</f>
        <v>87.0</v>
      </c>
      <c r="F13" s="13">
        <f>ROUND(IF($C$13&lt;=0,0,MIN(MAX(0,$C$13+$D$13-$E$13),MAX(0,$AD$13))),2)</f>
        <v>190.0</v>
      </c>
      <c r="G13" s="13">
        <f>ROUND(MAX(0,$C$13+$D$13-$E$13-$F$13),2)</f>
        <v>847.04</v>
      </c>
      <c r="H13" s="13">
        <f>$L$12</f>
        <v>5894.54</v>
      </c>
      <c r="I13" s="13">
        <f>ROUND(IF($H$13&lt;=0,0,$H$13*CreditUnionVisaAPR/12),2)</f>
        <v>122.75</v>
      </c>
      <c r="J13" s="13">
        <f>ROUND(IF($H$13&lt;=0,0,MIN(CreditUnionVisaMinPayment,$H$13+$I$13)),2)</f>
        <v>192.0</v>
      </c>
      <c r="K13" s="13">
        <f>ROUND(IF($H$13&lt;=0,0,MIN(MAX(0,$H$13+$I$13-$J$13),MAX(0,$AD$13-$F$13))),2)</f>
        <v>0.0</v>
      </c>
      <c r="L13" s="13">
        <f>ROUND(MAX(0,$H$13+$I$13-$J$13-$K$13),2)</f>
        <v>5825.29</v>
      </c>
      <c r="M13" s="13">
        <f>$Q$12</f>
        <v>4857.13</v>
      </c>
      <c r="N13" s="13">
        <f>ROUND(IF($M$13&lt;=0,0,$M$13*PersonalLoanAPR/12),2)</f>
        <v>50.55</v>
      </c>
      <c r="O13" s="13">
        <f>ROUND(IF($M$13&lt;=0,0,MIN(PersonalLoanMinPayment,$M$13+$N$13)),2)</f>
        <v>174.0</v>
      </c>
      <c r="P13" s="13">
        <f>ROUND(IF($M$13&lt;=0,0,MIN(MAX(0,$M$13+$N$13-$O$13),MAX(0,$AD$13-$F$13-$K$13))),2)</f>
        <v>0.0</v>
      </c>
      <c r="Q13" s="13">
        <f>ROUND(MAX(0,$M$13+$N$13-$O$13-$P$13),2)</f>
        <v>4733.68</v>
      </c>
      <c r="R13" s="13">
        <f>$V$12</f>
        <v>8383.76</v>
      </c>
      <c r="S13" s="13">
        <f>ROUND(IF($R$13&lt;=0,0,$R$13*UsedAutoLoanAPR/12),2)</f>
        <v>43.6</v>
      </c>
      <c r="T13" s="13">
        <f>ROUND(IF($R$13&lt;=0,0,MIN(UsedAutoLoanMinPayment,$R$13+$S$13)),2)</f>
        <v>212.0</v>
      </c>
      <c r="U13" s="13">
        <f>ROUND(IF($R$13&lt;=0,0,MIN(MAX(0,$R$13+$S$13-$T$13),MAX(0,$AD$13-$F$13-$K$13-$P$13))),2)</f>
        <v>0.0</v>
      </c>
      <c r="V13" s="13">
        <f>ROUND(MAX(0,$R$13+$S$13-$T$13-$U$13),2)</f>
        <v>8215.36</v>
      </c>
      <c r="W13" s="13">
        <f>$AA$12</f>
        <v>740.0</v>
      </c>
      <c r="X13" s="13">
        <f>ROUND(IF($W$13&lt;=0,0,$W$13*MedicalPlanAPR/12),2)</f>
        <v>0.0</v>
      </c>
      <c r="Y13" s="13">
        <f>ROUND(IF($W$13&lt;=0,0,MIN(MedicalPlanMinPayment,$W$13+$X$13)),2)</f>
        <v>45.0</v>
      </c>
      <c r="Z13" s="13">
        <f>ROUND(IF($W$13&lt;=0,0,MIN(MAX(0,$W$13+$X$13-$Y$13),MAX(0,$AD$13-$F$13-$K$13-$P$13-$U$13))),2)</f>
        <v>0.0</v>
      </c>
      <c r="AA13" s="13">
        <f>ROUND(MAX(0,$W$13+$X$13-$Y$13-$Z$13),2)</f>
        <v>695.0</v>
      </c>
      <c r="AB13" s="13">
        <f>ROUND(NoWindfallBaseExtra+NoWindfallPermanentLift+IF(A13&lt;=NoWindfallTempMonths,NoWindfallTempBoost,0),2)</f>
        <v>190.0</v>
      </c>
      <c r="AC13" s="13">
        <f>IF(A13=NoWindfallWindfallMonth,NoWindfallWindfall,0)</f>
        <v>0.0</v>
      </c>
      <c r="AD13" s="13">
        <f>ROUND($AB$13+$AC$13+IF($G$12&lt;=0,StoreCardMinPayment,0)+IF($L$12&lt;=0,CreditUnionVisaMinPayment,0)+IF($Q$12&lt;=0,PersonalLoanMinPayment,0)+IF($V$12&lt;=0,UsedAutoLoanMinPayment,0)+IF($AA$12&lt;=0,MedicalPlanMinPayment,0),2)</f>
        <v>190.0</v>
      </c>
      <c r="AE13" s="18" t="str">
        <f>IF($F$13&gt;0,Inputs!A6,IF($K$13&gt;0,Inputs!A7,IF($P$13&gt;0,Inputs!A8,IF($U$13&gt;0,Inputs!A9,IF($Z$13&gt;0,Inputs!A5,"")))))</f>
        <v>Store Card</v>
      </c>
      <c r="AF13" s="13">
        <f>ROUND(SUM($D$13,$I$13,$N$13,$S$13,$X$13),2)</f>
        <v>243.41</v>
      </c>
      <c r="AG13" s="13">
        <f>ROUND(SUM($G$13,$L$13,$Q$13,$V$13,$AA$13),2)</f>
        <v>20316.37</v>
      </c>
    </row>
    <row r="14" spans="1:33">
      <c r="A14" s="17">
        <f>ROW()-3</f>
        <v>10</v>
      </c>
      <c r="B14" s="18" t="str">
        <f>TEXT(EDATE(StartDate,A14-1),"mmm yyyy")</f>
        <v>Jan 2027</v>
      </c>
      <c r="C14" s="13">
        <f>$G$13</f>
        <v>847.04</v>
      </c>
      <c r="D14" s="13">
        <f>ROUND(IF($C$14&lt;=0,0,$C$14*StoreCardAPR/12),2)</f>
        <v>20.46</v>
      </c>
      <c r="E14" s="13">
        <f>ROUND(IF($C$14&lt;=0,0,MIN(StoreCardMinPayment,$C$14+$D$14)),2)</f>
        <v>87.0</v>
      </c>
      <c r="F14" s="13">
        <f>ROUND(IF($C$14&lt;=0,0,MIN(MAX(0,$C$14+$D$14-$E$14),MAX(0,$AD$14))),2)</f>
        <v>190.0</v>
      </c>
      <c r="G14" s="13">
        <f>ROUND(MAX(0,$C$14+$D$14-$E$14-$F$14),2)</f>
        <v>590.5</v>
      </c>
      <c r="H14" s="13">
        <f>$L$13</f>
        <v>5825.29</v>
      </c>
      <c r="I14" s="13">
        <f>ROUND(IF($H$14&lt;=0,0,$H$14*CreditUnionVisaAPR/12),2)</f>
        <v>121.31</v>
      </c>
      <c r="J14" s="13">
        <f>ROUND(IF($H$14&lt;=0,0,MIN(CreditUnionVisaMinPayment,$H$14+$I$14)),2)</f>
        <v>192.0</v>
      </c>
      <c r="K14" s="13">
        <f>ROUND(IF($H$14&lt;=0,0,MIN(MAX(0,$H$14+$I$14-$J$14),MAX(0,$AD$14-$F$14))),2)</f>
        <v>0.0</v>
      </c>
      <c r="L14" s="13">
        <f>ROUND(MAX(0,$H$14+$I$14-$J$14-$K$14),2)</f>
        <v>5754.6</v>
      </c>
      <c r="M14" s="13">
        <f>$Q$13</f>
        <v>4733.68</v>
      </c>
      <c r="N14" s="13">
        <f>ROUND(IF($M$14&lt;=0,0,$M$14*PersonalLoanAPR/12),2)</f>
        <v>49.27</v>
      </c>
      <c r="O14" s="13">
        <f>ROUND(IF($M$14&lt;=0,0,MIN(PersonalLoanMinPayment,$M$14+$N$14)),2)</f>
        <v>174.0</v>
      </c>
      <c r="P14" s="13">
        <f>ROUND(IF($M$14&lt;=0,0,MIN(MAX(0,$M$14+$N$14-$O$14),MAX(0,$AD$14-$F$14-$K$14))),2)</f>
        <v>0.0</v>
      </c>
      <c r="Q14" s="13">
        <f>ROUND(MAX(0,$M$14+$N$14-$O$14-$P$14),2)</f>
        <v>4608.95</v>
      </c>
      <c r="R14" s="13">
        <f>$V$13</f>
        <v>8215.36</v>
      </c>
      <c r="S14" s="13">
        <f>ROUND(IF($R$14&lt;=0,0,$R$14*UsedAutoLoanAPR/12),2)</f>
        <v>42.72</v>
      </c>
      <c r="T14" s="13">
        <f>ROUND(IF($R$14&lt;=0,0,MIN(UsedAutoLoanMinPayment,$R$14+$S$14)),2)</f>
        <v>212.0</v>
      </c>
      <c r="U14" s="13">
        <f>ROUND(IF($R$14&lt;=0,0,MIN(MAX(0,$R$14+$S$14-$T$14),MAX(0,$AD$14-$F$14-$K$14-$P$14))),2)</f>
        <v>0.0</v>
      </c>
      <c r="V14" s="13">
        <f>ROUND(MAX(0,$R$14+$S$14-$T$14-$U$14),2)</f>
        <v>8046.08</v>
      </c>
      <c r="W14" s="13">
        <f>$AA$13</f>
        <v>695.0</v>
      </c>
      <c r="X14" s="13">
        <f>ROUND(IF($W$14&lt;=0,0,$W$14*MedicalPlanAPR/12),2)</f>
        <v>0.0</v>
      </c>
      <c r="Y14" s="13">
        <f>ROUND(IF($W$14&lt;=0,0,MIN(MedicalPlanMinPayment,$W$14+$X$14)),2)</f>
        <v>45.0</v>
      </c>
      <c r="Z14" s="13">
        <f>ROUND(IF($W$14&lt;=0,0,MIN(MAX(0,$W$14+$X$14-$Y$14),MAX(0,$AD$14-$F$14-$K$14-$P$14-$U$14))),2)</f>
        <v>0.0</v>
      </c>
      <c r="AA14" s="13">
        <f>ROUND(MAX(0,$W$14+$X$14-$Y$14-$Z$14),2)</f>
        <v>650.0</v>
      </c>
      <c r="AB14" s="13">
        <f>ROUND(NoWindfallBaseExtra+NoWindfallPermanentLift+IF(A14&lt;=NoWindfallTempMonths,NoWindfallTempBoost,0),2)</f>
        <v>190.0</v>
      </c>
      <c r="AC14" s="13">
        <f>IF(A14=NoWindfallWindfallMonth,NoWindfallWindfall,0)</f>
        <v>0.0</v>
      </c>
      <c r="AD14" s="13">
        <f>ROUND($AB$14+$AC$14+IF($G$13&lt;=0,StoreCardMinPayment,0)+IF($L$13&lt;=0,CreditUnionVisaMinPayment,0)+IF($Q$13&lt;=0,PersonalLoanMinPayment,0)+IF($V$13&lt;=0,UsedAutoLoanMinPayment,0)+IF($AA$13&lt;=0,MedicalPlanMinPayment,0),2)</f>
        <v>190.0</v>
      </c>
      <c r="AE14" s="18" t="str">
        <f>IF($F$14&gt;0,Inputs!A6,IF($K$14&gt;0,Inputs!A7,IF($P$14&gt;0,Inputs!A8,IF($U$14&gt;0,Inputs!A9,IF($Z$14&gt;0,Inputs!A5,"")))))</f>
        <v>Store Card</v>
      </c>
      <c r="AF14" s="13">
        <f>ROUND(SUM($D$14,$I$14,$N$14,$S$14,$X$14),2)</f>
        <v>233.76</v>
      </c>
      <c r="AG14" s="13">
        <f>ROUND(SUM($G$14,$L$14,$Q$14,$V$14,$AA$14),2)</f>
        <v>19650.13</v>
      </c>
    </row>
    <row r="15" spans="1:33">
      <c r="A15" s="17">
        <f>ROW()-3</f>
        <v>11</v>
      </c>
      <c r="B15" s="18" t="str">
        <f>TEXT(EDATE(StartDate,A15-1),"mmm yyyy")</f>
        <v>Feb 2027</v>
      </c>
      <c r="C15" s="13">
        <f>$G$14</f>
        <v>590.5</v>
      </c>
      <c r="D15" s="13">
        <f>ROUND(IF($C$15&lt;=0,0,$C$15*StoreCardAPR/12),2)</f>
        <v>14.27</v>
      </c>
      <c r="E15" s="13">
        <f>ROUND(IF($C$15&lt;=0,0,MIN(StoreCardMinPayment,$C$15+$D$15)),2)</f>
        <v>87.0</v>
      </c>
      <c r="F15" s="13">
        <f>ROUND(IF($C$15&lt;=0,0,MIN(MAX(0,$C$15+$D$15-$E$15),MAX(0,$AD$15))),2)</f>
        <v>190.0</v>
      </c>
      <c r="G15" s="13">
        <f>ROUND(MAX(0,$C$15+$D$15-$E$15-$F$15),2)</f>
        <v>327.77</v>
      </c>
      <c r="H15" s="13">
        <f>$L$14</f>
        <v>5754.6</v>
      </c>
      <c r="I15" s="13">
        <f>ROUND(IF($H$15&lt;=0,0,$H$15*CreditUnionVisaAPR/12),2)</f>
        <v>119.84</v>
      </c>
      <c r="J15" s="13">
        <f>ROUND(IF($H$15&lt;=0,0,MIN(CreditUnionVisaMinPayment,$H$15+$I$15)),2)</f>
        <v>192.0</v>
      </c>
      <c r="K15" s="13">
        <f>ROUND(IF($H$15&lt;=0,0,MIN(MAX(0,$H$15+$I$15-$J$15),MAX(0,$AD$15-$F$15))),2)</f>
        <v>0.0</v>
      </c>
      <c r="L15" s="13">
        <f>ROUND(MAX(0,$H$15+$I$15-$J$15-$K$15),2)</f>
        <v>5682.44</v>
      </c>
      <c r="M15" s="13">
        <f>$Q$14</f>
        <v>4608.95</v>
      </c>
      <c r="N15" s="13">
        <f>ROUND(IF($M$15&lt;=0,0,$M$15*PersonalLoanAPR/12),2)</f>
        <v>47.97</v>
      </c>
      <c r="O15" s="13">
        <f>ROUND(IF($M$15&lt;=0,0,MIN(PersonalLoanMinPayment,$M$15+$N$15)),2)</f>
        <v>174.0</v>
      </c>
      <c r="P15" s="13">
        <f>ROUND(IF($M$15&lt;=0,0,MIN(MAX(0,$M$15+$N$15-$O$15),MAX(0,$AD$15-$F$15-$K$15))),2)</f>
        <v>0.0</v>
      </c>
      <c r="Q15" s="13">
        <f>ROUND(MAX(0,$M$15+$N$15-$O$15-$P$15),2)</f>
        <v>4482.92</v>
      </c>
      <c r="R15" s="13">
        <f>$V$14</f>
        <v>8046.08</v>
      </c>
      <c r="S15" s="13">
        <f>ROUND(IF($R$15&lt;=0,0,$R$15*UsedAutoLoanAPR/12),2)</f>
        <v>41.84</v>
      </c>
      <c r="T15" s="13">
        <f>ROUND(IF($R$15&lt;=0,0,MIN(UsedAutoLoanMinPayment,$R$15+$S$15)),2)</f>
        <v>212.0</v>
      </c>
      <c r="U15" s="13">
        <f>ROUND(IF($R$15&lt;=0,0,MIN(MAX(0,$R$15+$S$15-$T$15),MAX(0,$AD$15-$F$15-$K$15-$P$15))),2)</f>
        <v>0.0</v>
      </c>
      <c r="V15" s="13">
        <f>ROUND(MAX(0,$R$15+$S$15-$T$15-$U$15),2)</f>
        <v>7875.92</v>
      </c>
      <c r="W15" s="13">
        <f>$AA$14</f>
        <v>650.0</v>
      </c>
      <c r="X15" s="13">
        <f>ROUND(IF($W$15&lt;=0,0,$W$15*MedicalPlanAPR/12),2)</f>
        <v>0.0</v>
      </c>
      <c r="Y15" s="13">
        <f>ROUND(IF($W$15&lt;=0,0,MIN(MedicalPlanMinPayment,$W$15+$X$15)),2)</f>
        <v>45.0</v>
      </c>
      <c r="Z15" s="13">
        <f>ROUND(IF($W$15&lt;=0,0,MIN(MAX(0,$W$15+$X$15-$Y$15),MAX(0,$AD$15-$F$15-$K$15-$P$15-$U$15))),2)</f>
        <v>0.0</v>
      </c>
      <c r="AA15" s="13">
        <f>ROUND(MAX(0,$W$15+$X$15-$Y$15-$Z$15),2)</f>
        <v>605.0</v>
      </c>
      <c r="AB15" s="13">
        <f>ROUND(NoWindfallBaseExtra+NoWindfallPermanentLift+IF(A15&lt;=NoWindfallTempMonths,NoWindfallTempBoost,0),2)</f>
        <v>190.0</v>
      </c>
      <c r="AC15" s="13">
        <f>IF(A15=NoWindfallWindfallMonth,NoWindfallWindfall,0)</f>
        <v>0.0</v>
      </c>
      <c r="AD15" s="13">
        <f>ROUND($AB$15+$AC$15+IF($G$14&lt;=0,StoreCardMinPayment,0)+IF($L$14&lt;=0,CreditUnionVisaMinPayment,0)+IF($Q$14&lt;=0,PersonalLoanMinPayment,0)+IF($V$14&lt;=0,UsedAutoLoanMinPayment,0)+IF($AA$14&lt;=0,MedicalPlanMinPayment,0),2)</f>
        <v>190.0</v>
      </c>
      <c r="AE15" s="18" t="str">
        <f>IF($F$15&gt;0,Inputs!A6,IF($K$15&gt;0,Inputs!A7,IF($P$15&gt;0,Inputs!A8,IF($U$15&gt;0,Inputs!A9,IF($Z$15&gt;0,Inputs!A5,"")))))</f>
        <v>Store Card</v>
      </c>
      <c r="AF15" s="13">
        <f>ROUND(SUM($D$15,$I$15,$N$15,$S$15,$X$15),2)</f>
        <v>223.92</v>
      </c>
      <c r="AG15" s="13">
        <f>ROUND(SUM($G$15,$L$15,$Q$15,$V$15,$AA$15),2)</f>
        <v>18974.05</v>
      </c>
    </row>
    <row r="16" spans="1:33">
      <c r="A16" s="17">
        <f>ROW()-3</f>
        <v>12</v>
      </c>
      <c r="B16" s="18" t="str">
        <f>TEXT(EDATE(StartDate,A16-1),"mmm yyyy")</f>
        <v>Mar 2027</v>
      </c>
      <c r="C16" s="13">
        <f>$G$15</f>
        <v>327.77</v>
      </c>
      <c r="D16" s="13">
        <f>ROUND(IF($C$16&lt;=0,0,$C$16*StoreCardAPR/12),2)</f>
        <v>7.92</v>
      </c>
      <c r="E16" s="13">
        <f>ROUND(IF($C$16&lt;=0,0,MIN(StoreCardMinPayment,$C$16+$D$16)),2)</f>
        <v>87.0</v>
      </c>
      <c r="F16" s="13">
        <f>ROUND(IF($C$16&lt;=0,0,MIN(MAX(0,$C$16+$D$16-$E$16),MAX(0,$AD$16))),2)</f>
        <v>190.0</v>
      </c>
      <c r="G16" s="13">
        <f>ROUND(MAX(0,$C$16+$D$16-$E$16-$F$16),2)</f>
        <v>58.69</v>
      </c>
      <c r="H16" s="13">
        <f>$L$15</f>
        <v>5682.44</v>
      </c>
      <c r="I16" s="13">
        <f>ROUND(IF($H$16&lt;=0,0,$H$16*CreditUnionVisaAPR/12),2)</f>
        <v>118.34</v>
      </c>
      <c r="J16" s="13">
        <f>ROUND(IF($H$16&lt;=0,0,MIN(CreditUnionVisaMinPayment,$H$16+$I$16)),2)</f>
        <v>192.0</v>
      </c>
      <c r="K16" s="13">
        <f>ROUND(IF($H$16&lt;=0,0,MIN(MAX(0,$H$16+$I$16-$J$16),MAX(0,$AD$16-$F$16))),2)</f>
        <v>0.0</v>
      </c>
      <c r="L16" s="13">
        <f>ROUND(MAX(0,$H$16+$I$16-$J$16-$K$16),2)</f>
        <v>5608.78</v>
      </c>
      <c r="M16" s="13">
        <f>$Q$15</f>
        <v>4482.92</v>
      </c>
      <c r="N16" s="13">
        <f>ROUND(IF($M$16&lt;=0,0,$M$16*PersonalLoanAPR/12),2)</f>
        <v>46.66</v>
      </c>
      <c r="O16" s="13">
        <f>ROUND(IF($M$16&lt;=0,0,MIN(PersonalLoanMinPayment,$M$16+$N$16)),2)</f>
        <v>174.0</v>
      </c>
      <c r="P16" s="13">
        <f>ROUND(IF($M$16&lt;=0,0,MIN(MAX(0,$M$16+$N$16-$O$16),MAX(0,$AD$16-$F$16-$K$16))),2)</f>
        <v>0.0</v>
      </c>
      <c r="Q16" s="13">
        <f>ROUND(MAX(0,$M$16+$N$16-$O$16-$P$16),2)</f>
        <v>4355.58</v>
      </c>
      <c r="R16" s="13">
        <f>$V$15</f>
        <v>7875.92</v>
      </c>
      <c r="S16" s="13">
        <f>ROUND(IF($R$16&lt;=0,0,$R$16*UsedAutoLoanAPR/12),2)</f>
        <v>40.95</v>
      </c>
      <c r="T16" s="13">
        <f>ROUND(IF($R$16&lt;=0,0,MIN(UsedAutoLoanMinPayment,$R$16+$S$16)),2)</f>
        <v>212.0</v>
      </c>
      <c r="U16" s="13">
        <f>ROUND(IF($R$16&lt;=0,0,MIN(MAX(0,$R$16+$S$16-$T$16),MAX(0,$AD$16-$F$16-$K$16-$P$16))),2)</f>
        <v>0.0</v>
      </c>
      <c r="V16" s="13">
        <f>ROUND(MAX(0,$R$16+$S$16-$T$16-$U$16),2)</f>
        <v>7704.87</v>
      </c>
      <c r="W16" s="13">
        <f>$AA$15</f>
        <v>605.0</v>
      </c>
      <c r="X16" s="13">
        <f>ROUND(IF($W$16&lt;=0,0,$W$16*MedicalPlanAPR/12),2)</f>
        <v>0.0</v>
      </c>
      <c r="Y16" s="13">
        <f>ROUND(IF($W$16&lt;=0,0,MIN(MedicalPlanMinPayment,$W$16+$X$16)),2)</f>
        <v>45.0</v>
      </c>
      <c r="Z16" s="13">
        <f>ROUND(IF($W$16&lt;=0,0,MIN(MAX(0,$W$16+$X$16-$Y$16),MAX(0,$AD$16-$F$16-$K$16-$P$16-$U$16))),2)</f>
        <v>0.0</v>
      </c>
      <c r="AA16" s="13">
        <f>ROUND(MAX(0,$W$16+$X$16-$Y$16-$Z$16),2)</f>
        <v>560.0</v>
      </c>
      <c r="AB16" s="13">
        <f>ROUND(NoWindfallBaseExtra+NoWindfallPermanentLift+IF(A16&lt;=NoWindfallTempMonths,NoWindfallTempBoost,0),2)</f>
        <v>190.0</v>
      </c>
      <c r="AC16" s="13">
        <f>IF(A16=NoWindfallWindfallMonth,NoWindfallWindfall,0)</f>
        <v>0.0</v>
      </c>
      <c r="AD16" s="13">
        <f>ROUND($AB$16+$AC$16+IF($G$15&lt;=0,StoreCardMinPayment,0)+IF($L$15&lt;=0,CreditUnionVisaMinPayment,0)+IF($Q$15&lt;=0,PersonalLoanMinPayment,0)+IF($V$15&lt;=0,UsedAutoLoanMinPayment,0)+IF($AA$15&lt;=0,MedicalPlanMinPayment,0),2)</f>
        <v>190.0</v>
      </c>
      <c r="AE16" s="18" t="str">
        <f>IF($F$16&gt;0,Inputs!A6,IF($K$16&gt;0,Inputs!A7,IF($P$16&gt;0,Inputs!A8,IF($U$16&gt;0,Inputs!A9,IF($Z$16&gt;0,Inputs!A5,"")))))</f>
        <v>Store Card</v>
      </c>
      <c r="AF16" s="13">
        <f>ROUND(SUM($D$16,$I$16,$N$16,$S$16,$X$16),2)</f>
        <v>213.87</v>
      </c>
      <c r="AG16" s="13">
        <f>ROUND(SUM($G$16,$L$16,$Q$16,$V$16,$AA$16),2)</f>
        <v>18287.92</v>
      </c>
    </row>
    <row r="17" spans="1:33">
      <c r="A17" s="17">
        <f>ROW()-3</f>
        <v>13</v>
      </c>
      <c r="B17" s="18" t="str">
        <f>TEXT(EDATE(StartDate,A17-1),"mmm yyyy")</f>
        <v>Apr 2027</v>
      </c>
      <c r="C17" s="13">
        <f>$G$16</f>
        <v>58.69</v>
      </c>
      <c r="D17" s="13">
        <f>ROUND(IF($C$17&lt;=0,0,$C$17*StoreCardAPR/12),2)</f>
        <v>1.42</v>
      </c>
      <c r="E17" s="13">
        <f>ROUND(IF($C$17&lt;=0,0,MIN(StoreCardMinPayment,$C$17+$D$17)),2)</f>
        <v>60.11</v>
      </c>
      <c r="F17" s="13">
        <f>ROUND(IF($C$17&lt;=0,0,MIN(MAX(0,$C$17+$D$17-$E$17),MAX(0,$AD$17))),2)</f>
        <v>0.0</v>
      </c>
      <c r="G17" s="13">
        <f>ROUND(MAX(0,$C$17+$D$17-$E$17-$F$17),2)</f>
        <v>0.0</v>
      </c>
      <c r="H17" s="13">
        <f>$L$16</f>
        <v>5608.78</v>
      </c>
      <c r="I17" s="13">
        <f>ROUND(IF($H$17&lt;=0,0,$H$17*CreditUnionVisaAPR/12),2)</f>
        <v>116.8</v>
      </c>
      <c r="J17" s="13">
        <f>ROUND(IF($H$17&lt;=0,0,MIN(CreditUnionVisaMinPayment,$H$17+$I$17)),2)</f>
        <v>192.0</v>
      </c>
      <c r="K17" s="13">
        <f>ROUND(IF($H$17&lt;=0,0,MIN(MAX(0,$H$17+$I$17-$J$17),MAX(0,$AD$17-$F$17))),2)</f>
        <v>190.0</v>
      </c>
      <c r="L17" s="13">
        <f>ROUND(MAX(0,$H$17+$I$17-$J$17-$K$17),2)</f>
        <v>5343.58</v>
      </c>
      <c r="M17" s="13">
        <f>$Q$16</f>
        <v>4355.58</v>
      </c>
      <c r="N17" s="13">
        <f>ROUND(IF($M$17&lt;=0,0,$M$17*PersonalLoanAPR/12),2)</f>
        <v>45.33</v>
      </c>
      <c r="O17" s="13">
        <f>ROUND(IF($M$17&lt;=0,0,MIN(PersonalLoanMinPayment,$M$17+$N$17)),2)</f>
        <v>174.0</v>
      </c>
      <c r="P17" s="13">
        <f>ROUND(IF($M$17&lt;=0,0,MIN(MAX(0,$M$17+$N$17-$O$17),MAX(0,$AD$17-$F$17-$K$17))),2)</f>
        <v>0.0</v>
      </c>
      <c r="Q17" s="13">
        <f>ROUND(MAX(0,$M$17+$N$17-$O$17-$P$17),2)</f>
        <v>4226.91</v>
      </c>
      <c r="R17" s="13">
        <f>$V$16</f>
        <v>7704.87</v>
      </c>
      <c r="S17" s="13">
        <f>ROUND(IF($R$17&lt;=0,0,$R$17*UsedAutoLoanAPR/12),2)</f>
        <v>40.07</v>
      </c>
      <c r="T17" s="13">
        <f>ROUND(IF($R$17&lt;=0,0,MIN(UsedAutoLoanMinPayment,$R$17+$S$17)),2)</f>
        <v>212.0</v>
      </c>
      <c r="U17" s="13">
        <f>ROUND(IF($R$17&lt;=0,0,MIN(MAX(0,$R$17+$S$17-$T$17),MAX(0,$AD$17-$F$17-$K$17-$P$17))),2)</f>
        <v>0.0</v>
      </c>
      <c r="V17" s="13">
        <f>ROUND(MAX(0,$R$17+$S$17-$T$17-$U$17),2)</f>
        <v>7532.94</v>
      </c>
      <c r="W17" s="13">
        <f>$AA$16</f>
        <v>560.0</v>
      </c>
      <c r="X17" s="13">
        <f>ROUND(IF($W$17&lt;=0,0,$W$17*MedicalPlanAPR/12),2)</f>
        <v>0.0</v>
      </c>
      <c r="Y17" s="13">
        <f>ROUND(IF($W$17&lt;=0,0,MIN(MedicalPlanMinPayment,$W$17+$X$17)),2)</f>
        <v>45.0</v>
      </c>
      <c r="Z17" s="13">
        <f>ROUND(IF($W$17&lt;=0,0,MIN(MAX(0,$W$17+$X$17-$Y$17),MAX(0,$AD$17-$F$17-$K$17-$P$17-$U$17))),2)</f>
        <v>0.0</v>
      </c>
      <c r="AA17" s="13">
        <f>ROUND(MAX(0,$W$17+$X$17-$Y$17-$Z$17),2)</f>
        <v>515.0</v>
      </c>
      <c r="AB17" s="13">
        <f>ROUND(NoWindfallBaseExtra+NoWindfallPermanentLift+IF(A17&lt;=NoWindfallTempMonths,NoWindfallTempBoost,0),2)</f>
        <v>190.0</v>
      </c>
      <c r="AC17" s="13">
        <f>IF(A17=NoWindfallWindfallMonth,NoWindfallWindfall,0)</f>
        <v>0.0</v>
      </c>
      <c r="AD17" s="13">
        <f>ROUND($AB$17+$AC$17+IF($G$16&lt;=0,StoreCardMinPayment,0)+IF($L$16&lt;=0,CreditUnionVisaMinPayment,0)+IF($Q$16&lt;=0,PersonalLoanMinPayment,0)+IF($V$16&lt;=0,UsedAutoLoanMinPayment,0)+IF($AA$16&lt;=0,MedicalPlanMinPayment,0),2)</f>
        <v>190.0</v>
      </c>
      <c r="AE17" s="18" t="str">
        <f>IF($F$17&gt;0,Inputs!A6,IF($K$17&gt;0,Inputs!A7,IF($P$17&gt;0,Inputs!A8,IF($U$17&gt;0,Inputs!A9,IF($Z$17&gt;0,Inputs!A5,"")))))</f>
        <v>Credit Union Visa</v>
      </c>
      <c r="AF17" s="13">
        <f>ROUND(SUM($D$17,$I$17,$N$17,$S$17,$X$17),2)</f>
        <v>203.62</v>
      </c>
      <c r="AG17" s="13">
        <f>ROUND(SUM($G$17,$L$17,$Q$17,$V$17,$AA$17),2)</f>
        <v>17618.43</v>
      </c>
    </row>
    <row r="18" spans="1:33">
      <c r="A18" s="17">
        <f>ROW()-3</f>
        <v>14</v>
      </c>
      <c r="B18" s="18" t="str">
        <f>TEXT(EDATE(StartDate,A18-1),"mmm yyyy")</f>
        <v>May 2027</v>
      </c>
      <c r="C18" s="13">
        <f>$G$17</f>
        <v>0.0</v>
      </c>
      <c r="D18" s="13">
        <f>ROUND(IF($C$18&lt;=0,0,$C$18*StoreCardAPR/12),2)</f>
        <v>0.0</v>
      </c>
      <c r="E18" s="13">
        <f>ROUND(IF($C$18&lt;=0,0,MIN(StoreCardMinPayment,$C$18+$D$18)),2)</f>
        <v>0.0</v>
      </c>
      <c r="F18" s="13">
        <f>ROUND(IF($C$18&lt;=0,0,MIN(MAX(0,$C$18+$D$18-$E$18),MAX(0,$AD$18))),2)</f>
        <v>0.0</v>
      </c>
      <c r="G18" s="13">
        <f>ROUND(MAX(0,$C$18+$D$18-$E$18-$F$18),2)</f>
        <v>0.0</v>
      </c>
      <c r="H18" s="13">
        <f>$L$17</f>
        <v>5343.58</v>
      </c>
      <c r="I18" s="13">
        <f>ROUND(IF($H$18&lt;=0,0,$H$18*CreditUnionVisaAPR/12),2)</f>
        <v>111.28</v>
      </c>
      <c r="J18" s="13">
        <f>ROUND(IF($H$18&lt;=0,0,MIN(CreditUnionVisaMinPayment,$H$18+$I$18)),2)</f>
        <v>192.0</v>
      </c>
      <c r="K18" s="13">
        <f>ROUND(IF($H$18&lt;=0,0,MIN(MAX(0,$H$18+$I$18-$J$18),MAX(0,$AD$18-$F$18))),2)</f>
        <v>277.0</v>
      </c>
      <c r="L18" s="13">
        <f>ROUND(MAX(0,$H$18+$I$18-$J$18-$K$18),2)</f>
        <v>4985.86</v>
      </c>
      <c r="M18" s="13">
        <f>$Q$17</f>
        <v>4226.91</v>
      </c>
      <c r="N18" s="13">
        <f>ROUND(IF($M$18&lt;=0,0,$M$18*PersonalLoanAPR/12),2)</f>
        <v>44.0</v>
      </c>
      <c r="O18" s="13">
        <f>ROUND(IF($M$18&lt;=0,0,MIN(PersonalLoanMinPayment,$M$18+$N$18)),2)</f>
        <v>174.0</v>
      </c>
      <c r="P18" s="13">
        <f>ROUND(IF($M$18&lt;=0,0,MIN(MAX(0,$M$18+$N$18-$O$18),MAX(0,$AD$18-$F$18-$K$18))),2)</f>
        <v>0.0</v>
      </c>
      <c r="Q18" s="13">
        <f>ROUND(MAX(0,$M$18+$N$18-$O$18-$P$18),2)</f>
        <v>4096.91</v>
      </c>
      <c r="R18" s="13">
        <f>$V$17</f>
        <v>7532.94</v>
      </c>
      <c r="S18" s="13">
        <f>ROUND(IF($R$18&lt;=0,0,$R$18*UsedAutoLoanAPR/12),2)</f>
        <v>39.17</v>
      </c>
      <c r="T18" s="13">
        <f>ROUND(IF($R$18&lt;=0,0,MIN(UsedAutoLoanMinPayment,$R$18+$S$18)),2)</f>
        <v>212.0</v>
      </c>
      <c r="U18" s="13">
        <f>ROUND(IF($R$18&lt;=0,0,MIN(MAX(0,$R$18+$S$18-$T$18),MAX(0,$AD$18-$F$18-$K$18-$P$18))),2)</f>
        <v>0.0</v>
      </c>
      <c r="V18" s="13">
        <f>ROUND(MAX(0,$R$18+$S$18-$T$18-$U$18),2)</f>
        <v>7360.11</v>
      </c>
      <c r="W18" s="13">
        <f>$AA$17</f>
        <v>515.0</v>
      </c>
      <c r="X18" s="13">
        <f>ROUND(IF($W$18&lt;=0,0,$W$18*MedicalPlanAPR/12),2)</f>
        <v>0.0</v>
      </c>
      <c r="Y18" s="13">
        <f>ROUND(IF($W$18&lt;=0,0,MIN(MedicalPlanMinPayment,$W$18+$X$18)),2)</f>
        <v>45.0</v>
      </c>
      <c r="Z18" s="13">
        <f>ROUND(IF($W$18&lt;=0,0,MIN(MAX(0,$W$18+$X$18-$Y$18),MAX(0,$AD$18-$F$18-$K$18-$P$18-$U$18))),2)</f>
        <v>0.0</v>
      </c>
      <c r="AA18" s="13">
        <f>ROUND(MAX(0,$W$18+$X$18-$Y$18-$Z$18),2)</f>
        <v>470.0</v>
      </c>
      <c r="AB18" s="13">
        <f>ROUND(NoWindfallBaseExtra+NoWindfallPermanentLift+IF(A18&lt;=NoWindfallTempMonths,NoWindfallTempBoost,0),2)</f>
        <v>190.0</v>
      </c>
      <c r="AC18" s="13">
        <f>IF(A18=NoWindfallWindfallMonth,NoWindfallWindfall,0)</f>
        <v>0.0</v>
      </c>
      <c r="AD18" s="13">
        <f>ROUND($AB$18+$AC$18+IF($G$17&lt;=0,StoreCardMinPayment,0)+IF($L$17&lt;=0,CreditUnionVisaMinPayment,0)+IF($Q$17&lt;=0,PersonalLoanMinPayment,0)+IF($V$17&lt;=0,UsedAutoLoanMinPayment,0)+IF($AA$17&lt;=0,MedicalPlanMinPayment,0),2)</f>
        <v>277.0</v>
      </c>
      <c r="AE18" s="18" t="str">
        <f>IF($F$18&gt;0,Inputs!A6,IF($K$18&gt;0,Inputs!A7,IF($P$18&gt;0,Inputs!A8,IF($U$18&gt;0,Inputs!A9,IF($Z$18&gt;0,Inputs!A5,"")))))</f>
        <v>Credit Union Visa</v>
      </c>
      <c r="AF18" s="13">
        <f>ROUND(SUM($D$18,$I$18,$N$18,$S$18,$X$18),2)</f>
        <v>194.45</v>
      </c>
      <c r="AG18" s="13">
        <f>ROUND(SUM($G$18,$L$18,$Q$18,$V$18,$AA$18),2)</f>
        <v>16912.88</v>
      </c>
    </row>
    <row r="19" spans="1:33">
      <c r="A19" s="17">
        <f>ROW()-3</f>
        <v>15</v>
      </c>
      <c r="B19" s="18" t="str">
        <f>TEXT(EDATE(StartDate,A19-1),"mmm yyyy")</f>
        <v>Jun 2027</v>
      </c>
      <c r="C19" s="13">
        <f>$G$18</f>
        <v>0.0</v>
      </c>
      <c r="D19" s="13">
        <f>ROUND(IF($C$19&lt;=0,0,$C$19*StoreCardAPR/12),2)</f>
        <v>0.0</v>
      </c>
      <c r="E19" s="13">
        <f>ROUND(IF($C$19&lt;=0,0,MIN(StoreCardMinPayment,$C$19+$D$19)),2)</f>
        <v>0.0</v>
      </c>
      <c r="F19" s="13">
        <f>ROUND(IF($C$19&lt;=0,0,MIN(MAX(0,$C$19+$D$19-$E$19),MAX(0,$AD$19))),2)</f>
        <v>0.0</v>
      </c>
      <c r="G19" s="13">
        <f>ROUND(MAX(0,$C$19+$D$19-$E$19-$F$19),2)</f>
        <v>0.0</v>
      </c>
      <c r="H19" s="13">
        <f>$L$18</f>
        <v>4985.86</v>
      </c>
      <c r="I19" s="13">
        <f>ROUND(IF($H$19&lt;=0,0,$H$19*CreditUnionVisaAPR/12),2)</f>
        <v>103.83</v>
      </c>
      <c r="J19" s="13">
        <f>ROUND(IF($H$19&lt;=0,0,MIN(CreditUnionVisaMinPayment,$H$19+$I$19)),2)</f>
        <v>192.0</v>
      </c>
      <c r="K19" s="13">
        <f>ROUND(IF($H$19&lt;=0,0,MIN(MAX(0,$H$19+$I$19-$J$19),MAX(0,$AD$19-$F$19))),2)</f>
        <v>277.0</v>
      </c>
      <c r="L19" s="13">
        <f>ROUND(MAX(0,$H$19+$I$19-$J$19-$K$19),2)</f>
        <v>4620.69</v>
      </c>
      <c r="M19" s="13">
        <f>$Q$18</f>
        <v>4096.91</v>
      </c>
      <c r="N19" s="13">
        <f>ROUND(IF($M$19&lt;=0,0,$M$19*PersonalLoanAPR/12),2)</f>
        <v>42.64</v>
      </c>
      <c r="O19" s="13">
        <f>ROUND(IF($M$19&lt;=0,0,MIN(PersonalLoanMinPayment,$M$19+$N$19)),2)</f>
        <v>174.0</v>
      </c>
      <c r="P19" s="13">
        <f>ROUND(IF($M$19&lt;=0,0,MIN(MAX(0,$M$19+$N$19-$O$19),MAX(0,$AD$19-$F$19-$K$19))),2)</f>
        <v>0.0</v>
      </c>
      <c r="Q19" s="13">
        <f>ROUND(MAX(0,$M$19+$N$19-$O$19-$P$19),2)</f>
        <v>3965.55</v>
      </c>
      <c r="R19" s="13">
        <f>$V$18</f>
        <v>7360.11</v>
      </c>
      <c r="S19" s="13">
        <f>ROUND(IF($R$19&lt;=0,0,$R$19*UsedAutoLoanAPR/12),2)</f>
        <v>38.27</v>
      </c>
      <c r="T19" s="13">
        <f>ROUND(IF($R$19&lt;=0,0,MIN(UsedAutoLoanMinPayment,$R$19+$S$19)),2)</f>
        <v>212.0</v>
      </c>
      <c r="U19" s="13">
        <f>ROUND(IF($R$19&lt;=0,0,MIN(MAX(0,$R$19+$S$19-$T$19),MAX(0,$AD$19-$F$19-$K$19-$P$19))),2)</f>
        <v>0.0</v>
      </c>
      <c r="V19" s="13">
        <f>ROUND(MAX(0,$R$19+$S$19-$T$19-$U$19),2)</f>
        <v>7186.38</v>
      </c>
      <c r="W19" s="13">
        <f>$AA$18</f>
        <v>470.0</v>
      </c>
      <c r="X19" s="13">
        <f>ROUND(IF($W$19&lt;=0,0,$W$19*MedicalPlanAPR/12),2)</f>
        <v>0.0</v>
      </c>
      <c r="Y19" s="13">
        <f>ROUND(IF($W$19&lt;=0,0,MIN(MedicalPlanMinPayment,$W$19+$X$19)),2)</f>
        <v>45.0</v>
      </c>
      <c r="Z19" s="13">
        <f>ROUND(IF($W$19&lt;=0,0,MIN(MAX(0,$W$19+$X$19-$Y$19),MAX(0,$AD$19-$F$19-$K$19-$P$19-$U$19))),2)</f>
        <v>0.0</v>
      </c>
      <c r="AA19" s="13">
        <f>ROUND(MAX(0,$W$19+$X$19-$Y$19-$Z$19),2)</f>
        <v>425.0</v>
      </c>
      <c r="AB19" s="13">
        <f>ROUND(NoWindfallBaseExtra+NoWindfallPermanentLift+IF(A19&lt;=NoWindfallTempMonths,NoWindfallTempBoost,0),2)</f>
        <v>190.0</v>
      </c>
      <c r="AC19" s="13">
        <f>IF(A19=NoWindfallWindfallMonth,NoWindfallWindfall,0)</f>
        <v>0.0</v>
      </c>
      <c r="AD19" s="13">
        <f>ROUND($AB$19+$AC$19+IF($G$18&lt;=0,StoreCardMinPayment,0)+IF($L$18&lt;=0,CreditUnionVisaMinPayment,0)+IF($Q$18&lt;=0,PersonalLoanMinPayment,0)+IF($V$18&lt;=0,UsedAutoLoanMinPayment,0)+IF($AA$18&lt;=0,MedicalPlanMinPayment,0),2)</f>
        <v>277.0</v>
      </c>
      <c r="AE19" s="18" t="str">
        <f>IF($F$19&gt;0,Inputs!A6,IF($K$19&gt;0,Inputs!A7,IF($P$19&gt;0,Inputs!A8,IF($U$19&gt;0,Inputs!A9,IF($Z$19&gt;0,Inputs!A5,"")))))</f>
        <v>Credit Union Visa</v>
      </c>
      <c r="AF19" s="13">
        <f>ROUND(SUM($D$19,$I$19,$N$19,$S$19,$X$19),2)</f>
        <v>184.74</v>
      </c>
      <c r="AG19" s="13">
        <f>ROUND(SUM($G$19,$L$19,$Q$19,$V$19,$AA$19),2)</f>
        <v>16197.62</v>
      </c>
    </row>
    <row r="20" spans="1:33">
      <c r="A20" s="17">
        <f>ROW()-3</f>
        <v>16</v>
      </c>
      <c r="B20" s="18" t="str">
        <f>TEXT(EDATE(StartDate,A20-1),"mmm yyyy")</f>
        <v>Jul 2027</v>
      </c>
      <c r="C20" s="13">
        <f>$G$19</f>
        <v>0.0</v>
      </c>
      <c r="D20" s="13">
        <f>ROUND(IF($C$20&lt;=0,0,$C$20*StoreCardAPR/12),2)</f>
        <v>0.0</v>
      </c>
      <c r="E20" s="13">
        <f>ROUND(IF($C$20&lt;=0,0,MIN(StoreCardMinPayment,$C$20+$D$20)),2)</f>
        <v>0.0</v>
      </c>
      <c r="F20" s="13">
        <f>ROUND(IF($C$20&lt;=0,0,MIN(MAX(0,$C$20+$D$20-$E$20),MAX(0,$AD$20))),2)</f>
        <v>0.0</v>
      </c>
      <c r="G20" s="13">
        <f>ROUND(MAX(0,$C$20+$D$20-$E$20-$F$20),2)</f>
        <v>0.0</v>
      </c>
      <c r="H20" s="13">
        <f>$L$19</f>
        <v>4620.69</v>
      </c>
      <c r="I20" s="13">
        <f>ROUND(IF($H$20&lt;=0,0,$H$20*CreditUnionVisaAPR/12),2)</f>
        <v>96.23</v>
      </c>
      <c r="J20" s="13">
        <f>ROUND(IF($H$20&lt;=0,0,MIN(CreditUnionVisaMinPayment,$H$20+$I$20)),2)</f>
        <v>192.0</v>
      </c>
      <c r="K20" s="13">
        <f>ROUND(IF($H$20&lt;=0,0,MIN(MAX(0,$H$20+$I$20-$J$20),MAX(0,$AD$20-$F$20))),2)</f>
        <v>277.0</v>
      </c>
      <c r="L20" s="13">
        <f>ROUND(MAX(0,$H$20+$I$20-$J$20-$K$20),2)</f>
        <v>4247.92</v>
      </c>
      <c r="M20" s="13">
        <f>$Q$19</f>
        <v>3965.55</v>
      </c>
      <c r="N20" s="13">
        <f>ROUND(IF($M$20&lt;=0,0,$M$20*PersonalLoanAPR/12),2)</f>
        <v>41.27</v>
      </c>
      <c r="O20" s="13">
        <f>ROUND(IF($M$20&lt;=0,0,MIN(PersonalLoanMinPayment,$M$20+$N$20)),2)</f>
        <v>174.0</v>
      </c>
      <c r="P20" s="13">
        <f>ROUND(IF($M$20&lt;=0,0,MIN(MAX(0,$M$20+$N$20-$O$20),MAX(0,$AD$20-$F$20-$K$20))),2)</f>
        <v>0.0</v>
      </c>
      <c r="Q20" s="13">
        <f>ROUND(MAX(0,$M$20+$N$20-$O$20-$P$20),2)</f>
        <v>3832.82</v>
      </c>
      <c r="R20" s="13">
        <f>$V$19</f>
        <v>7186.38</v>
      </c>
      <c r="S20" s="13">
        <f>ROUND(IF($R$20&lt;=0,0,$R$20*UsedAutoLoanAPR/12),2)</f>
        <v>37.37</v>
      </c>
      <c r="T20" s="13">
        <f>ROUND(IF($R$20&lt;=0,0,MIN(UsedAutoLoanMinPayment,$R$20+$S$20)),2)</f>
        <v>212.0</v>
      </c>
      <c r="U20" s="13">
        <f>ROUND(IF($R$20&lt;=0,0,MIN(MAX(0,$R$20+$S$20-$T$20),MAX(0,$AD$20-$F$20-$K$20-$P$20))),2)</f>
        <v>0.0</v>
      </c>
      <c r="V20" s="13">
        <f>ROUND(MAX(0,$R$20+$S$20-$T$20-$U$20),2)</f>
        <v>7011.75</v>
      </c>
      <c r="W20" s="13">
        <f>$AA$19</f>
        <v>425.0</v>
      </c>
      <c r="X20" s="13">
        <f>ROUND(IF($W$20&lt;=0,0,$W$20*MedicalPlanAPR/12),2)</f>
        <v>0.0</v>
      </c>
      <c r="Y20" s="13">
        <f>ROUND(IF($W$20&lt;=0,0,MIN(MedicalPlanMinPayment,$W$20+$X$20)),2)</f>
        <v>45.0</v>
      </c>
      <c r="Z20" s="13">
        <f>ROUND(IF($W$20&lt;=0,0,MIN(MAX(0,$W$20+$X$20-$Y$20),MAX(0,$AD$20-$F$20-$K$20-$P$20-$U$20))),2)</f>
        <v>0.0</v>
      </c>
      <c r="AA20" s="13">
        <f>ROUND(MAX(0,$W$20+$X$20-$Y$20-$Z$20),2)</f>
        <v>380.0</v>
      </c>
      <c r="AB20" s="13">
        <f>ROUND(NoWindfallBaseExtra+NoWindfallPermanentLift+IF(A20&lt;=NoWindfallTempMonths,NoWindfallTempBoost,0),2)</f>
        <v>190.0</v>
      </c>
      <c r="AC20" s="13">
        <f>IF(A20=NoWindfallWindfallMonth,NoWindfallWindfall,0)</f>
        <v>0.0</v>
      </c>
      <c r="AD20" s="13">
        <f>ROUND($AB$20+$AC$20+IF($G$19&lt;=0,StoreCardMinPayment,0)+IF($L$19&lt;=0,CreditUnionVisaMinPayment,0)+IF($Q$19&lt;=0,PersonalLoanMinPayment,0)+IF($V$19&lt;=0,UsedAutoLoanMinPayment,0)+IF($AA$19&lt;=0,MedicalPlanMinPayment,0),2)</f>
        <v>277.0</v>
      </c>
      <c r="AE20" s="18" t="str">
        <f>IF($F$20&gt;0,Inputs!A6,IF($K$20&gt;0,Inputs!A7,IF($P$20&gt;0,Inputs!A8,IF($U$20&gt;0,Inputs!A9,IF($Z$20&gt;0,Inputs!A5,"")))))</f>
        <v>Credit Union Visa</v>
      </c>
      <c r="AF20" s="13">
        <f>ROUND(SUM($D$20,$I$20,$N$20,$S$20,$X$20),2)</f>
        <v>174.87</v>
      </c>
      <c r="AG20" s="13">
        <f>ROUND(SUM($G$20,$L$20,$Q$20,$V$20,$AA$20),2)</f>
        <v>15472.49</v>
      </c>
    </row>
    <row r="21" spans="1:33">
      <c r="A21" s="17">
        <f>ROW()-3</f>
        <v>17</v>
      </c>
      <c r="B21" s="18" t="str">
        <f>TEXT(EDATE(StartDate,A21-1),"mmm yyyy")</f>
        <v>Aug 2027</v>
      </c>
      <c r="C21" s="13">
        <f>$G$20</f>
        <v>0.0</v>
      </c>
      <c r="D21" s="13">
        <f>ROUND(IF($C$21&lt;=0,0,$C$21*StoreCardAPR/12),2)</f>
        <v>0.0</v>
      </c>
      <c r="E21" s="13">
        <f>ROUND(IF($C$21&lt;=0,0,MIN(StoreCardMinPayment,$C$21+$D$21)),2)</f>
        <v>0.0</v>
      </c>
      <c r="F21" s="13">
        <f>ROUND(IF($C$21&lt;=0,0,MIN(MAX(0,$C$21+$D$21-$E$21),MAX(0,$AD$21))),2)</f>
        <v>0.0</v>
      </c>
      <c r="G21" s="13">
        <f>ROUND(MAX(0,$C$21+$D$21-$E$21-$F$21),2)</f>
        <v>0.0</v>
      </c>
      <c r="H21" s="13">
        <f>$L$20</f>
        <v>4247.92</v>
      </c>
      <c r="I21" s="13">
        <f>ROUND(IF($H$21&lt;=0,0,$H$21*CreditUnionVisaAPR/12),2)</f>
        <v>88.46</v>
      </c>
      <c r="J21" s="13">
        <f>ROUND(IF($H$21&lt;=0,0,MIN(CreditUnionVisaMinPayment,$H$21+$I$21)),2)</f>
        <v>192.0</v>
      </c>
      <c r="K21" s="13">
        <f>ROUND(IF($H$21&lt;=0,0,MIN(MAX(0,$H$21+$I$21-$J$21),MAX(0,$AD$21-$F$21))),2)</f>
        <v>277.0</v>
      </c>
      <c r="L21" s="13">
        <f>ROUND(MAX(0,$H$21+$I$21-$J$21-$K$21),2)</f>
        <v>3867.38</v>
      </c>
      <c r="M21" s="13">
        <f>$Q$20</f>
        <v>3832.82</v>
      </c>
      <c r="N21" s="13">
        <f>ROUND(IF($M$21&lt;=0,0,$M$21*PersonalLoanAPR/12),2)</f>
        <v>39.89</v>
      </c>
      <c r="O21" s="13">
        <f>ROUND(IF($M$21&lt;=0,0,MIN(PersonalLoanMinPayment,$M$21+$N$21)),2)</f>
        <v>174.0</v>
      </c>
      <c r="P21" s="13">
        <f>ROUND(IF($M$21&lt;=0,0,MIN(MAX(0,$M$21+$N$21-$O$21),MAX(0,$AD$21-$F$21-$K$21))),2)</f>
        <v>0.0</v>
      </c>
      <c r="Q21" s="13">
        <f>ROUND(MAX(0,$M$21+$N$21-$O$21-$P$21),2)</f>
        <v>3698.71</v>
      </c>
      <c r="R21" s="13">
        <f>$V$20</f>
        <v>7011.75</v>
      </c>
      <c r="S21" s="13">
        <f>ROUND(IF($R$21&lt;=0,0,$R$21*UsedAutoLoanAPR/12),2)</f>
        <v>36.46</v>
      </c>
      <c r="T21" s="13">
        <f>ROUND(IF($R$21&lt;=0,0,MIN(UsedAutoLoanMinPayment,$R$21+$S$21)),2)</f>
        <v>212.0</v>
      </c>
      <c r="U21" s="13">
        <f>ROUND(IF($R$21&lt;=0,0,MIN(MAX(0,$R$21+$S$21-$T$21),MAX(0,$AD$21-$F$21-$K$21-$P$21))),2)</f>
        <v>0.0</v>
      </c>
      <c r="V21" s="13">
        <f>ROUND(MAX(0,$R$21+$S$21-$T$21-$U$21),2)</f>
        <v>6836.21</v>
      </c>
      <c r="W21" s="13">
        <f>$AA$20</f>
        <v>380.0</v>
      </c>
      <c r="X21" s="13">
        <f>ROUND(IF($W$21&lt;=0,0,$W$21*MedicalPlanAPR/12),2)</f>
        <v>0.0</v>
      </c>
      <c r="Y21" s="13">
        <f>ROUND(IF($W$21&lt;=0,0,MIN(MedicalPlanMinPayment,$W$21+$X$21)),2)</f>
        <v>45.0</v>
      </c>
      <c r="Z21" s="13">
        <f>ROUND(IF($W$21&lt;=0,0,MIN(MAX(0,$W$21+$X$21-$Y$21),MAX(0,$AD$21-$F$21-$K$21-$P$21-$U$21))),2)</f>
        <v>0.0</v>
      </c>
      <c r="AA21" s="13">
        <f>ROUND(MAX(0,$W$21+$X$21-$Y$21-$Z$21),2)</f>
        <v>335.0</v>
      </c>
      <c r="AB21" s="13">
        <f>ROUND(NoWindfallBaseExtra+NoWindfallPermanentLift+IF(A21&lt;=NoWindfallTempMonths,NoWindfallTempBoost,0),2)</f>
        <v>190.0</v>
      </c>
      <c r="AC21" s="13">
        <f>IF(A21=NoWindfallWindfallMonth,NoWindfallWindfall,0)</f>
        <v>0.0</v>
      </c>
      <c r="AD21" s="13">
        <f>ROUND($AB$21+$AC$21+IF($G$20&lt;=0,StoreCardMinPayment,0)+IF($L$20&lt;=0,CreditUnionVisaMinPayment,0)+IF($Q$20&lt;=0,PersonalLoanMinPayment,0)+IF($V$20&lt;=0,UsedAutoLoanMinPayment,0)+IF($AA$20&lt;=0,MedicalPlanMinPayment,0),2)</f>
        <v>277.0</v>
      </c>
      <c r="AE21" s="18" t="str">
        <f>IF($F$21&gt;0,Inputs!A6,IF($K$21&gt;0,Inputs!A7,IF($P$21&gt;0,Inputs!A8,IF($U$21&gt;0,Inputs!A9,IF($Z$21&gt;0,Inputs!A5,"")))))</f>
        <v>Credit Union Visa</v>
      </c>
      <c r="AF21" s="13">
        <f>ROUND(SUM($D$21,$I$21,$N$21,$S$21,$X$21),2)</f>
        <v>164.81</v>
      </c>
      <c r="AG21" s="13">
        <f>ROUND(SUM($G$21,$L$21,$Q$21,$V$21,$AA$21),2)</f>
        <v>14737.3</v>
      </c>
    </row>
    <row r="22" spans="1:33">
      <c r="A22" s="17">
        <f>ROW()-3</f>
        <v>18</v>
      </c>
      <c r="B22" s="18" t="str">
        <f>TEXT(EDATE(StartDate,A22-1),"mmm yyyy")</f>
        <v>Sep 2027</v>
      </c>
      <c r="C22" s="13">
        <f>$G$21</f>
        <v>0.0</v>
      </c>
      <c r="D22" s="13">
        <f>ROUND(IF($C$22&lt;=0,0,$C$22*StoreCardAPR/12),2)</f>
        <v>0.0</v>
      </c>
      <c r="E22" s="13">
        <f>ROUND(IF($C$22&lt;=0,0,MIN(StoreCardMinPayment,$C$22+$D$22)),2)</f>
        <v>0.0</v>
      </c>
      <c r="F22" s="13">
        <f>ROUND(IF($C$22&lt;=0,0,MIN(MAX(0,$C$22+$D$22-$E$22),MAX(0,$AD$22))),2)</f>
        <v>0.0</v>
      </c>
      <c r="G22" s="13">
        <f>ROUND(MAX(0,$C$22+$D$22-$E$22-$F$22),2)</f>
        <v>0.0</v>
      </c>
      <c r="H22" s="13">
        <f>$L$21</f>
        <v>3867.38</v>
      </c>
      <c r="I22" s="13">
        <f>ROUND(IF($H$22&lt;=0,0,$H$22*CreditUnionVisaAPR/12),2)</f>
        <v>80.54</v>
      </c>
      <c r="J22" s="13">
        <f>ROUND(IF($H$22&lt;=0,0,MIN(CreditUnionVisaMinPayment,$H$22+$I$22)),2)</f>
        <v>192.0</v>
      </c>
      <c r="K22" s="13">
        <f>ROUND(IF($H$22&lt;=0,0,MIN(MAX(0,$H$22+$I$22-$J$22),MAX(0,$AD$22-$F$22))),2)</f>
        <v>277.0</v>
      </c>
      <c r="L22" s="13">
        <f>ROUND(MAX(0,$H$22+$I$22-$J$22-$K$22),2)</f>
        <v>3478.92</v>
      </c>
      <c r="M22" s="13">
        <f>$Q$21</f>
        <v>3698.71</v>
      </c>
      <c r="N22" s="13">
        <f>ROUND(IF($M$22&lt;=0,0,$M$22*PersonalLoanAPR/12),2)</f>
        <v>38.5</v>
      </c>
      <c r="O22" s="13">
        <f>ROUND(IF($M$22&lt;=0,0,MIN(PersonalLoanMinPayment,$M$22+$N$22)),2)</f>
        <v>174.0</v>
      </c>
      <c r="P22" s="13">
        <f>ROUND(IF($M$22&lt;=0,0,MIN(MAX(0,$M$22+$N$22-$O$22),MAX(0,$AD$22-$F$22-$K$22))),2)</f>
        <v>0.0</v>
      </c>
      <c r="Q22" s="13">
        <f>ROUND(MAX(0,$M$22+$N$22-$O$22-$P$22),2)</f>
        <v>3563.21</v>
      </c>
      <c r="R22" s="13">
        <f>$V$21</f>
        <v>6836.21</v>
      </c>
      <c r="S22" s="13">
        <f>ROUND(IF($R$22&lt;=0,0,$R$22*UsedAutoLoanAPR/12),2)</f>
        <v>35.55</v>
      </c>
      <c r="T22" s="13">
        <f>ROUND(IF($R$22&lt;=0,0,MIN(UsedAutoLoanMinPayment,$R$22+$S$22)),2)</f>
        <v>212.0</v>
      </c>
      <c r="U22" s="13">
        <f>ROUND(IF($R$22&lt;=0,0,MIN(MAX(0,$R$22+$S$22-$T$22),MAX(0,$AD$22-$F$22-$K$22-$P$22))),2)</f>
        <v>0.0</v>
      </c>
      <c r="V22" s="13">
        <f>ROUND(MAX(0,$R$22+$S$22-$T$22-$U$22),2)</f>
        <v>6659.76</v>
      </c>
      <c r="W22" s="13">
        <f>$AA$21</f>
        <v>335.0</v>
      </c>
      <c r="X22" s="13">
        <f>ROUND(IF($W$22&lt;=0,0,$W$22*MedicalPlanAPR/12),2)</f>
        <v>0.0</v>
      </c>
      <c r="Y22" s="13">
        <f>ROUND(IF($W$22&lt;=0,0,MIN(MedicalPlanMinPayment,$W$22+$X$22)),2)</f>
        <v>45.0</v>
      </c>
      <c r="Z22" s="13">
        <f>ROUND(IF($W$22&lt;=0,0,MIN(MAX(0,$W$22+$X$22-$Y$22),MAX(0,$AD$22-$F$22-$K$22-$P$22-$U$22))),2)</f>
        <v>0.0</v>
      </c>
      <c r="AA22" s="13">
        <f>ROUND(MAX(0,$W$22+$X$22-$Y$22-$Z$22),2)</f>
        <v>290.0</v>
      </c>
      <c r="AB22" s="13">
        <f>ROUND(NoWindfallBaseExtra+NoWindfallPermanentLift+IF(A22&lt;=NoWindfallTempMonths,NoWindfallTempBoost,0),2)</f>
        <v>190.0</v>
      </c>
      <c r="AC22" s="13">
        <f>IF(A22=NoWindfallWindfallMonth,NoWindfallWindfall,0)</f>
        <v>0.0</v>
      </c>
      <c r="AD22" s="13">
        <f>ROUND($AB$22+$AC$22+IF($G$21&lt;=0,StoreCardMinPayment,0)+IF($L$21&lt;=0,CreditUnionVisaMinPayment,0)+IF($Q$21&lt;=0,PersonalLoanMinPayment,0)+IF($V$21&lt;=0,UsedAutoLoanMinPayment,0)+IF($AA$21&lt;=0,MedicalPlanMinPayment,0),2)</f>
        <v>277.0</v>
      </c>
      <c r="AE22" s="18" t="str">
        <f>IF($F$22&gt;0,Inputs!A6,IF($K$22&gt;0,Inputs!A7,IF($P$22&gt;0,Inputs!A8,IF($U$22&gt;0,Inputs!A9,IF($Z$22&gt;0,Inputs!A5,"")))))</f>
        <v>Credit Union Visa</v>
      </c>
      <c r="AF22" s="13">
        <f>ROUND(SUM($D$22,$I$22,$N$22,$S$22,$X$22),2)</f>
        <v>154.59</v>
      </c>
      <c r="AG22" s="13">
        <f>ROUND(SUM($G$22,$L$22,$Q$22,$V$22,$AA$22),2)</f>
        <v>13991.89</v>
      </c>
    </row>
    <row r="23" spans="1:33">
      <c r="A23" s="17">
        <f>ROW()-3</f>
        <v>19</v>
      </c>
      <c r="B23" s="18" t="str">
        <f>TEXT(EDATE(StartDate,A23-1),"mmm yyyy")</f>
        <v>Oct 2027</v>
      </c>
      <c r="C23" s="13">
        <f>$G$22</f>
        <v>0.0</v>
      </c>
      <c r="D23" s="13">
        <f>ROUND(IF($C$23&lt;=0,0,$C$23*StoreCardAPR/12),2)</f>
        <v>0.0</v>
      </c>
      <c r="E23" s="13">
        <f>ROUND(IF($C$23&lt;=0,0,MIN(StoreCardMinPayment,$C$23+$D$23)),2)</f>
        <v>0.0</v>
      </c>
      <c r="F23" s="13">
        <f>ROUND(IF($C$23&lt;=0,0,MIN(MAX(0,$C$23+$D$23-$E$23),MAX(0,$AD$23))),2)</f>
        <v>0.0</v>
      </c>
      <c r="G23" s="13">
        <f>ROUND(MAX(0,$C$23+$D$23-$E$23-$F$23),2)</f>
        <v>0.0</v>
      </c>
      <c r="H23" s="13">
        <f>$L$22</f>
        <v>3478.92</v>
      </c>
      <c r="I23" s="13">
        <f>ROUND(IF($H$23&lt;=0,0,$H$23*CreditUnionVisaAPR/12),2)</f>
        <v>72.45</v>
      </c>
      <c r="J23" s="13">
        <f>ROUND(IF($H$23&lt;=0,0,MIN(CreditUnionVisaMinPayment,$H$23+$I$23)),2)</f>
        <v>192.0</v>
      </c>
      <c r="K23" s="13">
        <f>ROUND(IF($H$23&lt;=0,0,MIN(MAX(0,$H$23+$I$23-$J$23),MAX(0,$AD$23-$F$23))),2)</f>
        <v>277.0</v>
      </c>
      <c r="L23" s="13">
        <f>ROUND(MAX(0,$H$23+$I$23-$J$23-$K$23),2)</f>
        <v>3082.37</v>
      </c>
      <c r="M23" s="13">
        <f>$Q$22</f>
        <v>3563.21</v>
      </c>
      <c r="N23" s="13">
        <f>ROUND(IF($M$23&lt;=0,0,$M$23*PersonalLoanAPR/12),2)</f>
        <v>37.09</v>
      </c>
      <c r="O23" s="13">
        <f>ROUND(IF($M$23&lt;=0,0,MIN(PersonalLoanMinPayment,$M$23+$N$23)),2)</f>
        <v>174.0</v>
      </c>
      <c r="P23" s="13">
        <f>ROUND(IF($M$23&lt;=0,0,MIN(MAX(0,$M$23+$N$23-$O$23),MAX(0,$AD$23-$F$23-$K$23))),2)</f>
        <v>0.0</v>
      </c>
      <c r="Q23" s="13">
        <f>ROUND(MAX(0,$M$23+$N$23-$O$23-$P$23),2)</f>
        <v>3426.3</v>
      </c>
      <c r="R23" s="13">
        <f>$V$22</f>
        <v>6659.76</v>
      </c>
      <c r="S23" s="13">
        <f>ROUND(IF($R$23&lt;=0,0,$R$23*UsedAutoLoanAPR/12),2)</f>
        <v>34.63</v>
      </c>
      <c r="T23" s="13">
        <f>ROUND(IF($R$23&lt;=0,0,MIN(UsedAutoLoanMinPayment,$R$23+$S$23)),2)</f>
        <v>212.0</v>
      </c>
      <c r="U23" s="13">
        <f>ROUND(IF($R$23&lt;=0,0,MIN(MAX(0,$R$23+$S$23-$T$23),MAX(0,$AD$23-$F$23-$K$23-$P$23))),2)</f>
        <v>0.0</v>
      </c>
      <c r="V23" s="13">
        <f>ROUND(MAX(0,$R$23+$S$23-$T$23-$U$23),2)</f>
        <v>6482.39</v>
      </c>
      <c r="W23" s="13">
        <f>$AA$22</f>
        <v>290.0</v>
      </c>
      <c r="X23" s="13">
        <f>ROUND(IF($W$23&lt;=0,0,$W$23*MedicalPlanAPR/12),2)</f>
        <v>0.0</v>
      </c>
      <c r="Y23" s="13">
        <f>ROUND(IF($W$23&lt;=0,0,MIN(MedicalPlanMinPayment,$W$23+$X$23)),2)</f>
        <v>45.0</v>
      </c>
      <c r="Z23" s="13">
        <f>ROUND(IF($W$23&lt;=0,0,MIN(MAX(0,$W$23+$X$23-$Y$23),MAX(0,$AD$23-$F$23-$K$23-$P$23-$U$23))),2)</f>
        <v>0.0</v>
      </c>
      <c r="AA23" s="13">
        <f>ROUND(MAX(0,$W$23+$X$23-$Y$23-$Z$23),2)</f>
        <v>245.0</v>
      </c>
      <c r="AB23" s="13">
        <f>ROUND(NoWindfallBaseExtra+NoWindfallPermanentLift+IF(A23&lt;=NoWindfallTempMonths,NoWindfallTempBoost,0),2)</f>
        <v>190.0</v>
      </c>
      <c r="AC23" s="13">
        <f>IF(A23=NoWindfallWindfallMonth,NoWindfallWindfall,0)</f>
        <v>0.0</v>
      </c>
      <c r="AD23" s="13">
        <f>ROUND($AB$23+$AC$23+IF($G$22&lt;=0,StoreCardMinPayment,0)+IF($L$22&lt;=0,CreditUnionVisaMinPayment,0)+IF($Q$22&lt;=0,PersonalLoanMinPayment,0)+IF($V$22&lt;=0,UsedAutoLoanMinPayment,0)+IF($AA$22&lt;=0,MedicalPlanMinPayment,0),2)</f>
        <v>277.0</v>
      </c>
      <c r="AE23" s="18" t="str">
        <f>IF($F$23&gt;0,Inputs!A6,IF($K$23&gt;0,Inputs!A7,IF($P$23&gt;0,Inputs!A8,IF($U$23&gt;0,Inputs!A9,IF($Z$23&gt;0,Inputs!A5,"")))))</f>
        <v>Credit Union Visa</v>
      </c>
      <c r="AF23" s="13">
        <f>ROUND(SUM($D$23,$I$23,$N$23,$S$23,$X$23),2)</f>
        <v>144.17</v>
      </c>
      <c r="AG23" s="13">
        <f>ROUND(SUM($G$23,$L$23,$Q$23,$V$23,$AA$23),2)</f>
        <v>13236.06</v>
      </c>
    </row>
    <row r="24" spans="1:33">
      <c r="A24" s="17">
        <f>ROW()-3</f>
        <v>20</v>
      </c>
      <c r="B24" s="18" t="str">
        <f>TEXT(EDATE(StartDate,A24-1),"mmm yyyy")</f>
        <v>Nov 2027</v>
      </c>
      <c r="C24" s="13">
        <f>$G$23</f>
        <v>0.0</v>
      </c>
      <c r="D24" s="13">
        <f>ROUND(IF($C$24&lt;=0,0,$C$24*StoreCardAPR/12),2)</f>
        <v>0.0</v>
      </c>
      <c r="E24" s="13">
        <f>ROUND(IF($C$24&lt;=0,0,MIN(StoreCardMinPayment,$C$24+$D$24)),2)</f>
        <v>0.0</v>
      </c>
      <c r="F24" s="13">
        <f>ROUND(IF($C$24&lt;=0,0,MIN(MAX(0,$C$24+$D$24-$E$24),MAX(0,$AD$24))),2)</f>
        <v>0.0</v>
      </c>
      <c r="G24" s="13">
        <f>ROUND(MAX(0,$C$24+$D$24-$E$24-$F$24),2)</f>
        <v>0.0</v>
      </c>
      <c r="H24" s="13">
        <f>$L$23</f>
        <v>3082.37</v>
      </c>
      <c r="I24" s="13">
        <f>ROUND(IF($H$24&lt;=0,0,$H$24*CreditUnionVisaAPR/12),2)</f>
        <v>64.19</v>
      </c>
      <c r="J24" s="13">
        <f>ROUND(IF($H$24&lt;=0,0,MIN(CreditUnionVisaMinPayment,$H$24+$I$24)),2)</f>
        <v>192.0</v>
      </c>
      <c r="K24" s="13">
        <f>ROUND(IF($H$24&lt;=0,0,MIN(MAX(0,$H$24+$I$24-$J$24),MAX(0,$AD$24-$F$24))),2)</f>
        <v>277.0</v>
      </c>
      <c r="L24" s="13">
        <f>ROUND(MAX(0,$H$24+$I$24-$J$24-$K$24),2)</f>
        <v>2677.56</v>
      </c>
      <c r="M24" s="13">
        <f>$Q$23</f>
        <v>3426.3</v>
      </c>
      <c r="N24" s="13">
        <f>ROUND(IF($M$24&lt;=0,0,$M$24*PersonalLoanAPR/12),2)</f>
        <v>35.66</v>
      </c>
      <c r="O24" s="13">
        <f>ROUND(IF($M$24&lt;=0,0,MIN(PersonalLoanMinPayment,$M$24+$N$24)),2)</f>
        <v>174.0</v>
      </c>
      <c r="P24" s="13">
        <f>ROUND(IF($M$24&lt;=0,0,MIN(MAX(0,$M$24+$N$24-$O$24),MAX(0,$AD$24-$F$24-$K$24))),2)</f>
        <v>0.0</v>
      </c>
      <c r="Q24" s="13">
        <f>ROUND(MAX(0,$M$24+$N$24-$O$24-$P$24),2)</f>
        <v>3287.96</v>
      </c>
      <c r="R24" s="13">
        <f>$V$23</f>
        <v>6482.39</v>
      </c>
      <c r="S24" s="13">
        <f>ROUND(IF($R$24&lt;=0,0,$R$24*UsedAutoLoanAPR/12),2)</f>
        <v>33.71</v>
      </c>
      <c r="T24" s="13">
        <f>ROUND(IF($R$24&lt;=0,0,MIN(UsedAutoLoanMinPayment,$R$24+$S$24)),2)</f>
        <v>212.0</v>
      </c>
      <c r="U24" s="13">
        <f>ROUND(IF($R$24&lt;=0,0,MIN(MAX(0,$R$24+$S$24-$T$24),MAX(0,$AD$24-$F$24-$K$24-$P$24))),2)</f>
        <v>0.0</v>
      </c>
      <c r="V24" s="13">
        <f>ROUND(MAX(0,$R$24+$S$24-$T$24-$U$24),2)</f>
        <v>6304.1</v>
      </c>
      <c r="W24" s="13">
        <f>$AA$23</f>
        <v>245.0</v>
      </c>
      <c r="X24" s="13">
        <f>ROUND(IF($W$24&lt;=0,0,$W$24*MedicalPlanAPR/12),2)</f>
        <v>0.0</v>
      </c>
      <c r="Y24" s="13">
        <f>ROUND(IF($W$24&lt;=0,0,MIN(MedicalPlanMinPayment,$W$24+$X$24)),2)</f>
        <v>45.0</v>
      </c>
      <c r="Z24" s="13">
        <f>ROUND(IF($W$24&lt;=0,0,MIN(MAX(0,$W$24+$X$24-$Y$24),MAX(0,$AD$24-$F$24-$K$24-$P$24-$U$24))),2)</f>
        <v>0.0</v>
      </c>
      <c r="AA24" s="13">
        <f>ROUND(MAX(0,$W$24+$X$24-$Y$24-$Z$24),2)</f>
        <v>200.0</v>
      </c>
      <c r="AB24" s="13">
        <f>ROUND(NoWindfallBaseExtra+NoWindfallPermanentLift+IF(A24&lt;=NoWindfallTempMonths,NoWindfallTempBoost,0),2)</f>
        <v>190.0</v>
      </c>
      <c r="AC24" s="13">
        <f>IF(A24=NoWindfallWindfallMonth,NoWindfallWindfall,0)</f>
        <v>0.0</v>
      </c>
      <c r="AD24" s="13">
        <f>ROUND($AB$24+$AC$24+IF($G$23&lt;=0,StoreCardMinPayment,0)+IF($L$23&lt;=0,CreditUnionVisaMinPayment,0)+IF($Q$23&lt;=0,PersonalLoanMinPayment,0)+IF($V$23&lt;=0,UsedAutoLoanMinPayment,0)+IF($AA$23&lt;=0,MedicalPlanMinPayment,0),2)</f>
        <v>277.0</v>
      </c>
      <c r="AE24" s="18" t="str">
        <f>IF($F$24&gt;0,Inputs!A6,IF($K$24&gt;0,Inputs!A7,IF($P$24&gt;0,Inputs!A8,IF($U$24&gt;0,Inputs!A9,IF($Z$24&gt;0,Inputs!A5,"")))))</f>
        <v>Credit Union Visa</v>
      </c>
      <c r="AF24" s="13">
        <f>ROUND(SUM($D$24,$I$24,$N$24,$S$24,$X$24),2)</f>
        <v>133.56</v>
      </c>
      <c r="AG24" s="13">
        <f>ROUND(SUM($G$24,$L$24,$Q$24,$V$24,$AA$24),2)</f>
        <v>12469.62</v>
      </c>
    </row>
    <row r="25" spans="1:33">
      <c r="A25" s="17">
        <f>ROW()-3</f>
        <v>21</v>
      </c>
      <c r="B25" s="18" t="str">
        <f>TEXT(EDATE(StartDate,A25-1),"mmm yyyy")</f>
        <v>Dec 2027</v>
      </c>
      <c r="C25" s="13">
        <f>$G$24</f>
        <v>0.0</v>
      </c>
      <c r="D25" s="13">
        <f>ROUND(IF($C$25&lt;=0,0,$C$25*StoreCardAPR/12),2)</f>
        <v>0.0</v>
      </c>
      <c r="E25" s="13">
        <f>ROUND(IF($C$25&lt;=0,0,MIN(StoreCardMinPayment,$C$25+$D$25)),2)</f>
        <v>0.0</v>
      </c>
      <c r="F25" s="13">
        <f>ROUND(IF($C$25&lt;=0,0,MIN(MAX(0,$C$25+$D$25-$E$25),MAX(0,$AD$25))),2)</f>
        <v>0.0</v>
      </c>
      <c r="G25" s="13">
        <f>ROUND(MAX(0,$C$25+$D$25-$E$25-$F$25),2)</f>
        <v>0.0</v>
      </c>
      <c r="H25" s="13">
        <f>$L$24</f>
        <v>2677.56</v>
      </c>
      <c r="I25" s="13">
        <f>ROUND(IF($H$25&lt;=0,0,$H$25*CreditUnionVisaAPR/12),2)</f>
        <v>55.76</v>
      </c>
      <c r="J25" s="13">
        <f>ROUND(IF($H$25&lt;=0,0,MIN(CreditUnionVisaMinPayment,$H$25+$I$25)),2)</f>
        <v>192.0</v>
      </c>
      <c r="K25" s="13">
        <f>ROUND(IF($H$25&lt;=0,0,MIN(MAX(0,$H$25+$I$25-$J$25),MAX(0,$AD$25-$F$25))),2)</f>
        <v>277.0</v>
      </c>
      <c r="L25" s="13">
        <f>ROUND(MAX(0,$H$25+$I$25-$J$25-$K$25),2)</f>
        <v>2264.32</v>
      </c>
      <c r="M25" s="13">
        <f>$Q$24</f>
        <v>3287.96</v>
      </c>
      <c r="N25" s="13">
        <f>ROUND(IF($M$25&lt;=0,0,$M$25*PersonalLoanAPR/12),2)</f>
        <v>34.22</v>
      </c>
      <c r="O25" s="13">
        <f>ROUND(IF($M$25&lt;=0,0,MIN(PersonalLoanMinPayment,$M$25+$N$25)),2)</f>
        <v>174.0</v>
      </c>
      <c r="P25" s="13">
        <f>ROUND(IF($M$25&lt;=0,0,MIN(MAX(0,$M$25+$N$25-$O$25),MAX(0,$AD$25-$F$25-$K$25))),2)</f>
        <v>0.0</v>
      </c>
      <c r="Q25" s="13">
        <f>ROUND(MAX(0,$M$25+$N$25-$O$25-$P$25),2)</f>
        <v>3148.18</v>
      </c>
      <c r="R25" s="13">
        <f>$V$24</f>
        <v>6304.1</v>
      </c>
      <c r="S25" s="13">
        <f>ROUND(IF($R$25&lt;=0,0,$R$25*UsedAutoLoanAPR/12),2)</f>
        <v>32.78</v>
      </c>
      <c r="T25" s="13">
        <f>ROUND(IF($R$25&lt;=0,0,MIN(UsedAutoLoanMinPayment,$R$25+$S$25)),2)</f>
        <v>212.0</v>
      </c>
      <c r="U25" s="13">
        <f>ROUND(IF($R$25&lt;=0,0,MIN(MAX(0,$R$25+$S$25-$T$25),MAX(0,$AD$25-$F$25-$K$25-$P$25))),2)</f>
        <v>0.0</v>
      </c>
      <c r="V25" s="13">
        <f>ROUND(MAX(0,$R$25+$S$25-$T$25-$U$25),2)</f>
        <v>6124.88</v>
      </c>
      <c r="W25" s="13">
        <f>$AA$24</f>
        <v>200.0</v>
      </c>
      <c r="X25" s="13">
        <f>ROUND(IF($W$25&lt;=0,0,$W$25*MedicalPlanAPR/12),2)</f>
        <v>0.0</v>
      </c>
      <c r="Y25" s="13">
        <f>ROUND(IF($W$25&lt;=0,0,MIN(MedicalPlanMinPayment,$W$25+$X$25)),2)</f>
        <v>45.0</v>
      </c>
      <c r="Z25" s="13">
        <f>ROUND(IF($W$25&lt;=0,0,MIN(MAX(0,$W$25+$X$25-$Y$25),MAX(0,$AD$25-$F$25-$K$25-$P$25-$U$25))),2)</f>
        <v>0.0</v>
      </c>
      <c r="AA25" s="13">
        <f>ROUND(MAX(0,$W$25+$X$25-$Y$25-$Z$25),2)</f>
        <v>155.0</v>
      </c>
      <c r="AB25" s="13">
        <f>ROUND(NoWindfallBaseExtra+NoWindfallPermanentLift+IF(A25&lt;=NoWindfallTempMonths,NoWindfallTempBoost,0),2)</f>
        <v>190.0</v>
      </c>
      <c r="AC25" s="13">
        <f>IF(A25=NoWindfallWindfallMonth,NoWindfallWindfall,0)</f>
        <v>0.0</v>
      </c>
      <c r="AD25" s="13">
        <f>ROUND($AB$25+$AC$25+IF($G$24&lt;=0,StoreCardMinPayment,0)+IF($L$24&lt;=0,CreditUnionVisaMinPayment,0)+IF($Q$24&lt;=0,PersonalLoanMinPayment,0)+IF($V$24&lt;=0,UsedAutoLoanMinPayment,0)+IF($AA$24&lt;=0,MedicalPlanMinPayment,0),2)</f>
        <v>277.0</v>
      </c>
      <c r="AE25" s="18" t="str">
        <f>IF($F$25&gt;0,Inputs!A6,IF($K$25&gt;0,Inputs!A7,IF($P$25&gt;0,Inputs!A8,IF($U$25&gt;0,Inputs!A9,IF($Z$25&gt;0,Inputs!A5,"")))))</f>
        <v>Credit Union Visa</v>
      </c>
      <c r="AF25" s="13">
        <f>ROUND(SUM($D$25,$I$25,$N$25,$S$25,$X$25),2)</f>
        <v>122.76</v>
      </c>
      <c r="AG25" s="13">
        <f>ROUND(SUM($G$25,$L$25,$Q$25,$V$25,$AA$25),2)</f>
        <v>11692.38</v>
      </c>
    </row>
    <row r="26" spans="1:33">
      <c r="A26" s="17">
        <f>ROW()-3</f>
        <v>22</v>
      </c>
      <c r="B26" s="18" t="str">
        <f>TEXT(EDATE(StartDate,A26-1),"mmm yyyy")</f>
        <v>Jan 2028</v>
      </c>
      <c r="C26" s="13">
        <f>$G$25</f>
        <v>0.0</v>
      </c>
      <c r="D26" s="13">
        <f>ROUND(IF($C$26&lt;=0,0,$C$26*StoreCardAPR/12),2)</f>
        <v>0.0</v>
      </c>
      <c r="E26" s="13">
        <f>ROUND(IF($C$26&lt;=0,0,MIN(StoreCardMinPayment,$C$26+$D$26)),2)</f>
        <v>0.0</v>
      </c>
      <c r="F26" s="13">
        <f>ROUND(IF($C$26&lt;=0,0,MIN(MAX(0,$C$26+$D$26-$E$26),MAX(0,$AD$26))),2)</f>
        <v>0.0</v>
      </c>
      <c r="G26" s="13">
        <f>ROUND(MAX(0,$C$26+$D$26-$E$26-$F$26),2)</f>
        <v>0.0</v>
      </c>
      <c r="H26" s="13">
        <f>$L$25</f>
        <v>2264.32</v>
      </c>
      <c r="I26" s="13">
        <f>ROUND(IF($H$26&lt;=0,0,$H$26*CreditUnionVisaAPR/12),2)</f>
        <v>47.15</v>
      </c>
      <c r="J26" s="13">
        <f>ROUND(IF($H$26&lt;=0,0,MIN(CreditUnionVisaMinPayment,$H$26+$I$26)),2)</f>
        <v>192.0</v>
      </c>
      <c r="K26" s="13">
        <f>ROUND(IF($H$26&lt;=0,0,MIN(MAX(0,$H$26+$I$26-$J$26),MAX(0,$AD$26-$F$26))),2)</f>
        <v>277.0</v>
      </c>
      <c r="L26" s="13">
        <f>ROUND(MAX(0,$H$26+$I$26-$J$26-$K$26),2)</f>
        <v>1842.47</v>
      </c>
      <c r="M26" s="13">
        <f>$Q$25</f>
        <v>3148.18</v>
      </c>
      <c r="N26" s="13">
        <f>ROUND(IF($M$26&lt;=0,0,$M$26*PersonalLoanAPR/12),2)</f>
        <v>32.77</v>
      </c>
      <c r="O26" s="13">
        <f>ROUND(IF($M$26&lt;=0,0,MIN(PersonalLoanMinPayment,$M$26+$N$26)),2)</f>
        <v>174.0</v>
      </c>
      <c r="P26" s="13">
        <f>ROUND(IF($M$26&lt;=0,0,MIN(MAX(0,$M$26+$N$26-$O$26),MAX(0,$AD$26-$F$26-$K$26))),2)</f>
        <v>0.0</v>
      </c>
      <c r="Q26" s="13">
        <f>ROUND(MAX(0,$M$26+$N$26-$O$26-$P$26),2)</f>
        <v>3006.95</v>
      </c>
      <c r="R26" s="13">
        <f>$V$25</f>
        <v>6124.88</v>
      </c>
      <c r="S26" s="13">
        <f>ROUND(IF($R$26&lt;=0,0,$R$26*UsedAutoLoanAPR/12),2)</f>
        <v>31.85</v>
      </c>
      <c r="T26" s="13">
        <f>ROUND(IF($R$26&lt;=0,0,MIN(UsedAutoLoanMinPayment,$R$26+$S$26)),2)</f>
        <v>212.0</v>
      </c>
      <c r="U26" s="13">
        <f>ROUND(IF($R$26&lt;=0,0,MIN(MAX(0,$R$26+$S$26-$T$26),MAX(0,$AD$26-$F$26-$K$26-$P$26))),2)</f>
        <v>0.0</v>
      </c>
      <c r="V26" s="13">
        <f>ROUND(MAX(0,$R$26+$S$26-$T$26-$U$26),2)</f>
        <v>5944.73</v>
      </c>
      <c r="W26" s="13">
        <f>$AA$25</f>
        <v>155.0</v>
      </c>
      <c r="X26" s="13">
        <f>ROUND(IF($W$26&lt;=0,0,$W$26*MedicalPlanAPR/12),2)</f>
        <v>0.0</v>
      </c>
      <c r="Y26" s="13">
        <f>ROUND(IF($W$26&lt;=0,0,MIN(MedicalPlanMinPayment,$W$26+$X$26)),2)</f>
        <v>45.0</v>
      </c>
      <c r="Z26" s="13">
        <f>ROUND(IF($W$26&lt;=0,0,MIN(MAX(0,$W$26+$X$26-$Y$26),MAX(0,$AD$26-$F$26-$K$26-$P$26-$U$26))),2)</f>
        <v>0.0</v>
      </c>
      <c r="AA26" s="13">
        <f>ROUND(MAX(0,$W$26+$X$26-$Y$26-$Z$26),2)</f>
        <v>110.0</v>
      </c>
      <c r="AB26" s="13">
        <f>ROUND(NoWindfallBaseExtra+NoWindfallPermanentLift+IF(A26&lt;=NoWindfallTempMonths,NoWindfallTempBoost,0),2)</f>
        <v>190.0</v>
      </c>
      <c r="AC26" s="13">
        <f>IF(A26=NoWindfallWindfallMonth,NoWindfallWindfall,0)</f>
        <v>0.0</v>
      </c>
      <c r="AD26" s="13">
        <f>ROUND($AB$26+$AC$26+IF($G$25&lt;=0,StoreCardMinPayment,0)+IF($L$25&lt;=0,CreditUnionVisaMinPayment,0)+IF($Q$25&lt;=0,PersonalLoanMinPayment,0)+IF($V$25&lt;=0,UsedAutoLoanMinPayment,0)+IF($AA$25&lt;=0,MedicalPlanMinPayment,0),2)</f>
        <v>277.0</v>
      </c>
      <c r="AE26" s="18" t="str">
        <f>IF($F$26&gt;0,Inputs!A6,IF($K$26&gt;0,Inputs!A7,IF($P$26&gt;0,Inputs!A8,IF($U$26&gt;0,Inputs!A9,IF($Z$26&gt;0,Inputs!A5,"")))))</f>
        <v>Credit Union Visa</v>
      </c>
      <c r="AF26" s="13">
        <f>ROUND(SUM($D$26,$I$26,$N$26,$S$26,$X$26),2)</f>
        <v>111.77</v>
      </c>
      <c r="AG26" s="13">
        <f>ROUND(SUM($G$26,$L$26,$Q$26,$V$26,$AA$26),2)</f>
        <v>10904.15</v>
      </c>
    </row>
    <row r="27" spans="1:33">
      <c r="A27" s="17">
        <f>ROW()-3</f>
        <v>23</v>
      </c>
      <c r="B27" s="18" t="str">
        <f>TEXT(EDATE(StartDate,A27-1),"mmm yyyy")</f>
        <v>Feb 2028</v>
      </c>
      <c r="C27" s="13">
        <f>$G$26</f>
        <v>0.0</v>
      </c>
      <c r="D27" s="13">
        <f>ROUND(IF($C$27&lt;=0,0,$C$27*StoreCardAPR/12),2)</f>
        <v>0.0</v>
      </c>
      <c r="E27" s="13">
        <f>ROUND(IF($C$27&lt;=0,0,MIN(StoreCardMinPayment,$C$27+$D$27)),2)</f>
        <v>0.0</v>
      </c>
      <c r="F27" s="13">
        <f>ROUND(IF($C$27&lt;=0,0,MIN(MAX(0,$C$27+$D$27-$E$27),MAX(0,$AD$27))),2)</f>
        <v>0.0</v>
      </c>
      <c r="G27" s="13">
        <f>ROUND(MAX(0,$C$27+$D$27-$E$27-$F$27),2)</f>
        <v>0.0</v>
      </c>
      <c r="H27" s="13">
        <f>$L$26</f>
        <v>1842.47</v>
      </c>
      <c r="I27" s="13">
        <f>ROUND(IF($H$27&lt;=0,0,$H$27*CreditUnionVisaAPR/12),2)</f>
        <v>38.37</v>
      </c>
      <c r="J27" s="13">
        <f>ROUND(IF($H$27&lt;=0,0,MIN(CreditUnionVisaMinPayment,$H$27+$I$27)),2)</f>
        <v>192.0</v>
      </c>
      <c r="K27" s="13">
        <f>ROUND(IF($H$27&lt;=0,0,MIN(MAX(0,$H$27+$I$27-$J$27),MAX(0,$AD$27-$F$27))),2)</f>
        <v>277.0</v>
      </c>
      <c r="L27" s="13">
        <f>ROUND(MAX(0,$H$27+$I$27-$J$27-$K$27),2)</f>
        <v>1411.84</v>
      </c>
      <c r="M27" s="13">
        <f>$Q$26</f>
        <v>3006.95</v>
      </c>
      <c r="N27" s="13">
        <f>ROUND(IF($M$27&lt;=0,0,$M$27*PersonalLoanAPR/12),2)</f>
        <v>31.3</v>
      </c>
      <c r="O27" s="13">
        <f>ROUND(IF($M$27&lt;=0,0,MIN(PersonalLoanMinPayment,$M$27+$N$27)),2)</f>
        <v>174.0</v>
      </c>
      <c r="P27" s="13">
        <f>ROUND(IF($M$27&lt;=0,0,MIN(MAX(0,$M$27+$N$27-$O$27),MAX(0,$AD$27-$F$27-$K$27))),2)</f>
        <v>0.0</v>
      </c>
      <c r="Q27" s="13">
        <f>ROUND(MAX(0,$M$27+$N$27-$O$27-$P$27),2)</f>
        <v>2864.25</v>
      </c>
      <c r="R27" s="13">
        <f>$V$26</f>
        <v>5944.73</v>
      </c>
      <c r="S27" s="13">
        <f>ROUND(IF($R$27&lt;=0,0,$R$27*UsedAutoLoanAPR/12),2)</f>
        <v>30.91</v>
      </c>
      <c r="T27" s="13">
        <f>ROUND(IF($R$27&lt;=0,0,MIN(UsedAutoLoanMinPayment,$R$27+$S$27)),2)</f>
        <v>212.0</v>
      </c>
      <c r="U27" s="13">
        <f>ROUND(IF($R$27&lt;=0,0,MIN(MAX(0,$R$27+$S$27-$T$27),MAX(0,$AD$27-$F$27-$K$27-$P$27))),2)</f>
        <v>0.0</v>
      </c>
      <c r="V27" s="13">
        <f>ROUND(MAX(0,$R$27+$S$27-$T$27-$U$27),2)</f>
        <v>5763.64</v>
      </c>
      <c r="W27" s="13">
        <f>$AA$26</f>
        <v>110.0</v>
      </c>
      <c r="X27" s="13">
        <f>ROUND(IF($W$27&lt;=0,0,$W$27*MedicalPlanAPR/12),2)</f>
        <v>0.0</v>
      </c>
      <c r="Y27" s="13">
        <f>ROUND(IF($W$27&lt;=0,0,MIN(MedicalPlanMinPayment,$W$27+$X$27)),2)</f>
        <v>45.0</v>
      </c>
      <c r="Z27" s="13">
        <f>ROUND(IF($W$27&lt;=0,0,MIN(MAX(0,$W$27+$X$27-$Y$27),MAX(0,$AD$27-$F$27-$K$27-$P$27-$U$27))),2)</f>
        <v>0.0</v>
      </c>
      <c r="AA27" s="13">
        <f>ROUND(MAX(0,$W$27+$X$27-$Y$27-$Z$27),2)</f>
        <v>65.0</v>
      </c>
      <c r="AB27" s="13">
        <f>ROUND(NoWindfallBaseExtra+NoWindfallPermanentLift+IF(A27&lt;=NoWindfallTempMonths,NoWindfallTempBoost,0),2)</f>
        <v>190.0</v>
      </c>
      <c r="AC27" s="13">
        <f>IF(A27=NoWindfallWindfallMonth,NoWindfallWindfall,0)</f>
        <v>0.0</v>
      </c>
      <c r="AD27" s="13">
        <f>ROUND($AB$27+$AC$27+IF($G$26&lt;=0,StoreCardMinPayment,0)+IF($L$26&lt;=0,CreditUnionVisaMinPayment,0)+IF($Q$26&lt;=0,PersonalLoanMinPayment,0)+IF($V$26&lt;=0,UsedAutoLoanMinPayment,0)+IF($AA$26&lt;=0,MedicalPlanMinPayment,0),2)</f>
        <v>277.0</v>
      </c>
      <c r="AE27" s="18" t="str">
        <f>IF($F$27&gt;0,Inputs!A6,IF($K$27&gt;0,Inputs!A7,IF($P$27&gt;0,Inputs!A8,IF($U$27&gt;0,Inputs!A9,IF($Z$27&gt;0,Inputs!A5,"")))))</f>
        <v>Credit Union Visa</v>
      </c>
      <c r="AF27" s="13">
        <f>ROUND(SUM($D$27,$I$27,$N$27,$S$27,$X$27),2)</f>
        <v>100.58</v>
      </c>
      <c r="AG27" s="13">
        <f>ROUND(SUM($G$27,$L$27,$Q$27,$V$27,$AA$27),2)</f>
        <v>10104.73</v>
      </c>
    </row>
    <row r="28" spans="1:33">
      <c r="A28" s="17">
        <f>ROW()-3</f>
        <v>24</v>
      </c>
      <c r="B28" s="18" t="str">
        <f>TEXT(EDATE(StartDate,A28-1),"mmm yyyy")</f>
        <v>Mar 2028</v>
      </c>
      <c r="C28" s="13">
        <f>$G$27</f>
        <v>0.0</v>
      </c>
      <c r="D28" s="13">
        <f>ROUND(IF($C$28&lt;=0,0,$C$28*StoreCardAPR/12),2)</f>
        <v>0.0</v>
      </c>
      <c r="E28" s="13">
        <f>ROUND(IF($C$28&lt;=0,0,MIN(StoreCardMinPayment,$C$28+$D$28)),2)</f>
        <v>0.0</v>
      </c>
      <c r="F28" s="13">
        <f>ROUND(IF($C$28&lt;=0,0,MIN(MAX(0,$C$28+$D$28-$E$28),MAX(0,$AD$28))),2)</f>
        <v>0.0</v>
      </c>
      <c r="G28" s="13">
        <f>ROUND(MAX(0,$C$28+$D$28-$E$28-$F$28),2)</f>
        <v>0.0</v>
      </c>
      <c r="H28" s="13">
        <f>$L$27</f>
        <v>1411.84</v>
      </c>
      <c r="I28" s="13">
        <f>ROUND(IF($H$28&lt;=0,0,$H$28*CreditUnionVisaAPR/12),2)</f>
        <v>29.4</v>
      </c>
      <c r="J28" s="13">
        <f>ROUND(IF($H$28&lt;=0,0,MIN(CreditUnionVisaMinPayment,$H$28+$I$28)),2)</f>
        <v>192.0</v>
      </c>
      <c r="K28" s="13">
        <f>ROUND(IF($H$28&lt;=0,0,MIN(MAX(0,$H$28+$I$28-$J$28),MAX(0,$AD$28-$F$28))),2)</f>
        <v>277.0</v>
      </c>
      <c r="L28" s="13">
        <f>ROUND(MAX(0,$H$28+$I$28-$J$28-$K$28),2)</f>
        <v>972.24</v>
      </c>
      <c r="M28" s="13">
        <f>$Q$27</f>
        <v>2864.25</v>
      </c>
      <c r="N28" s="13">
        <f>ROUND(IF($M$28&lt;=0,0,$M$28*PersonalLoanAPR/12),2)</f>
        <v>29.81</v>
      </c>
      <c r="O28" s="13">
        <f>ROUND(IF($M$28&lt;=0,0,MIN(PersonalLoanMinPayment,$M$28+$N$28)),2)</f>
        <v>174.0</v>
      </c>
      <c r="P28" s="13">
        <f>ROUND(IF($M$28&lt;=0,0,MIN(MAX(0,$M$28+$N$28-$O$28),MAX(0,$AD$28-$F$28-$K$28))),2)</f>
        <v>0.0</v>
      </c>
      <c r="Q28" s="13">
        <f>ROUND(MAX(0,$M$28+$N$28-$O$28-$P$28),2)</f>
        <v>2720.06</v>
      </c>
      <c r="R28" s="13">
        <f>$V$27</f>
        <v>5763.64</v>
      </c>
      <c r="S28" s="13">
        <f>ROUND(IF($R$28&lt;=0,0,$R$28*UsedAutoLoanAPR/12),2)</f>
        <v>29.97</v>
      </c>
      <c r="T28" s="13">
        <f>ROUND(IF($R$28&lt;=0,0,MIN(UsedAutoLoanMinPayment,$R$28+$S$28)),2)</f>
        <v>212.0</v>
      </c>
      <c r="U28" s="13">
        <f>ROUND(IF($R$28&lt;=0,0,MIN(MAX(0,$R$28+$S$28-$T$28),MAX(0,$AD$28-$F$28-$K$28-$P$28))),2)</f>
        <v>0.0</v>
      </c>
      <c r="V28" s="13">
        <f>ROUND(MAX(0,$R$28+$S$28-$T$28-$U$28),2)</f>
        <v>5581.61</v>
      </c>
      <c r="W28" s="13">
        <f>$AA$27</f>
        <v>65.0</v>
      </c>
      <c r="X28" s="13">
        <f>ROUND(IF($W$28&lt;=0,0,$W$28*MedicalPlanAPR/12),2)</f>
        <v>0.0</v>
      </c>
      <c r="Y28" s="13">
        <f>ROUND(IF($W$28&lt;=0,0,MIN(MedicalPlanMinPayment,$W$28+$X$28)),2)</f>
        <v>45.0</v>
      </c>
      <c r="Z28" s="13">
        <f>ROUND(IF($W$28&lt;=0,0,MIN(MAX(0,$W$28+$X$28-$Y$28),MAX(0,$AD$28-$F$28-$K$28-$P$28-$U$28))),2)</f>
        <v>0.0</v>
      </c>
      <c r="AA28" s="13">
        <f>ROUND(MAX(0,$W$28+$X$28-$Y$28-$Z$28),2)</f>
        <v>20.0</v>
      </c>
      <c r="AB28" s="13">
        <f>ROUND(NoWindfallBaseExtra+NoWindfallPermanentLift+IF(A28&lt;=NoWindfallTempMonths,NoWindfallTempBoost,0),2)</f>
        <v>190.0</v>
      </c>
      <c r="AC28" s="13">
        <f>IF(A28=NoWindfallWindfallMonth,NoWindfallWindfall,0)</f>
        <v>0.0</v>
      </c>
      <c r="AD28" s="13">
        <f>ROUND($AB$28+$AC$28+IF($G$27&lt;=0,StoreCardMinPayment,0)+IF($L$27&lt;=0,CreditUnionVisaMinPayment,0)+IF($Q$27&lt;=0,PersonalLoanMinPayment,0)+IF($V$27&lt;=0,UsedAutoLoanMinPayment,0)+IF($AA$27&lt;=0,MedicalPlanMinPayment,0),2)</f>
        <v>277.0</v>
      </c>
      <c r="AE28" s="18" t="str">
        <f>IF($F$28&gt;0,Inputs!A6,IF($K$28&gt;0,Inputs!A7,IF($P$28&gt;0,Inputs!A8,IF($U$28&gt;0,Inputs!A9,IF($Z$28&gt;0,Inputs!A5,"")))))</f>
        <v>Credit Union Visa</v>
      </c>
      <c r="AF28" s="13">
        <f>ROUND(SUM($D$28,$I$28,$N$28,$S$28,$X$28),2)</f>
        <v>89.18</v>
      </c>
      <c r="AG28" s="13">
        <f>ROUND(SUM($G$28,$L$28,$Q$28,$V$28,$AA$28),2)</f>
        <v>9293.91</v>
      </c>
    </row>
    <row r="29" spans="1:33">
      <c r="A29" s="17">
        <f>ROW()-3</f>
        <v>25</v>
      </c>
      <c r="B29" s="18" t="str">
        <f>TEXT(EDATE(StartDate,A29-1),"mmm yyyy")</f>
        <v>Apr 2028</v>
      </c>
      <c r="C29" s="13">
        <f>$G$28</f>
        <v>0.0</v>
      </c>
      <c r="D29" s="13">
        <f>ROUND(IF($C$29&lt;=0,0,$C$29*StoreCardAPR/12),2)</f>
        <v>0.0</v>
      </c>
      <c r="E29" s="13">
        <f>ROUND(IF($C$29&lt;=0,0,MIN(StoreCardMinPayment,$C$29+$D$29)),2)</f>
        <v>0.0</v>
      </c>
      <c r="F29" s="13">
        <f>ROUND(IF($C$29&lt;=0,0,MIN(MAX(0,$C$29+$D$29-$E$29),MAX(0,$AD$29))),2)</f>
        <v>0.0</v>
      </c>
      <c r="G29" s="13">
        <f>ROUND(MAX(0,$C$29+$D$29-$E$29-$F$29),2)</f>
        <v>0.0</v>
      </c>
      <c r="H29" s="13">
        <f>$L$28</f>
        <v>972.24</v>
      </c>
      <c r="I29" s="13">
        <f>ROUND(IF($H$29&lt;=0,0,$H$29*CreditUnionVisaAPR/12),2)</f>
        <v>20.25</v>
      </c>
      <c r="J29" s="13">
        <f>ROUND(IF($H$29&lt;=0,0,MIN(CreditUnionVisaMinPayment,$H$29+$I$29)),2)</f>
        <v>192.0</v>
      </c>
      <c r="K29" s="13">
        <f>ROUND(IF($H$29&lt;=0,0,MIN(MAX(0,$H$29+$I$29-$J$29),MAX(0,$AD$29-$F$29))),2)</f>
        <v>277.0</v>
      </c>
      <c r="L29" s="13">
        <f>ROUND(MAX(0,$H$29+$I$29-$J$29-$K$29),2)</f>
        <v>523.49</v>
      </c>
      <c r="M29" s="13">
        <f>$Q$28</f>
        <v>2720.06</v>
      </c>
      <c r="N29" s="13">
        <f>ROUND(IF($M$29&lt;=0,0,$M$29*PersonalLoanAPR/12),2)</f>
        <v>28.31</v>
      </c>
      <c r="O29" s="13">
        <f>ROUND(IF($M$29&lt;=0,0,MIN(PersonalLoanMinPayment,$M$29+$N$29)),2)</f>
        <v>174.0</v>
      </c>
      <c r="P29" s="13">
        <f>ROUND(IF($M$29&lt;=0,0,MIN(MAX(0,$M$29+$N$29-$O$29),MAX(0,$AD$29-$F$29-$K$29))),2)</f>
        <v>0.0</v>
      </c>
      <c r="Q29" s="13">
        <f>ROUND(MAX(0,$M$29+$N$29-$O$29-$P$29),2)</f>
        <v>2574.37</v>
      </c>
      <c r="R29" s="13">
        <f>$V$28</f>
        <v>5581.61</v>
      </c>
      <c r="S29" s="13">
        <f>ROUND(IF($R$29&lt;=0,0,$R$29*UsedAutoLoanAPR/12),2)</f>
        <v>29.02</v>
      </c>
      <c r="T29" s="13">
        <f>ROUND(IF($R$29&lt;=0,0,MIN(UsedAutoLoanMinPayment,$R$29+$S$29)),2)</f>
        <v>212.0</v>
      </c>
      <c r="U29" s="13">
        <f>ROUND(IF($R$29&lt;=0,0,MIN(MAX(0,$R$29+$S$29-$T$29),MAX(0,$AD$29-$F$29-$K$29-$P$29))),2)</f>
        <v>0.0</v>
      </c>
      <c r="V29" s="13">
        <f>ROUND(MAX(0,$R$29+$S$29-$T$29-$U$29),2)</f>
        <v>5398.63</v>
      </c>
      <c r="W29" s="13">
        <f>$AA$28</f>
        <v>20.0</v>
      </c>
      <c r="X29" s="13">
        <f>ROUND(IF($W$29&lt;=0,0,$W$29*MedicalPlanAPR/12),2)</f>
        <v>0.0</v>
      </c>
      <c r="Y29" s="13">
        <f>ROUND(IF($W$29&lt;=0,0,MIN(MedicalPlanMinPayment,$W$29+$X$29)),2)</f>
        <v>20.0</v>
      </c>
      <c r="Z29" s="13">
        <f>ROUND(IF($W$29&lt;=0,0,MIN(MAX(0,$W$29+$X$29-$Y$29),MAX(0,$AD$29-$F$29-$K$29-$P$29-$U$29))),2)</f>
        <v>0.0</v>
      </c>
      <c r="AA29" s="13">
        <f>ROUND(MAX(0,$W$29+$X$29-$Y$29-$Z$29),2)</f>
        <v>0.0</v>
      </c>
      <c r="AB29" s="13">
        <f>ROUND(NoWindfallBaseExtra+NoWindfallPermanentLift+IF(A29&lt;=NoWindfallTempMonths,NoWindfallTempBoost,0),2)</f>
        <v>190.0</v>
      </c>
      <c r="AC29" s="13">
        <f>IF(A29=NoWindfallWindfallMonth,NoWindfallWindfall,0)</f>
        <v>0.0</v>
      </c>
      <c r="AD29" s="13">
        <f>ROUND($AB$29+$AC$29+IF($G$28&lt;=0,StoreCardMinPayment,0)+IF($L$28&lt;=0,CreditUnionVisaMinPayment,0)+IF($Q$28&lt;=0,PersonalLoanMinPayment,0)+IF($V$28&lt;=0,UsedAutoLoanMinPayment,0)+IF($AA$28&lt;=0,MedicalPlanMinPayment,0),2)</f>
        <v>277.0</v>
      </c>
      <c r="AE29" s="18" t="str">
        <f>IF($F$29&gt;0,Inputs!A6,IF($K$29&gt;0,Inputs!A7,IF($P$29&gt;0,Inputs!A8,IF($U$29&gt;0,Inputs!A9,IF($Z$29&gt;0,Inputs!A5,"")))))</f>
        <v>Credit Union Visa</v>
      </c>
      <c r="AF29" s="13">
        <f>ROUND(SUM($D$29,$I$29,$N$29,$S$29,$X$29),2)</f>
        <v>77.58</v>
      </c>
      <c r="AG29" s="13">
        <f>ROUND(SUM($G$29,$L$29,$Q$29,$V$29,$AA$29),2)</f>
        <v>8496.49</v>
      </c>
    </row>
    <row r="30" spans="1:33">
      <c r="A30" s="17">
        <f>ROW()-3</f>
        <v>26</v>
      </c>
      <c r="B30" s="18" t="str">
        <f>TEXT(EDATE(StartDate,A30-1),"mmm yyyy")</f>
        <v>May 2028</v>
      </c>
      <c r="C30" s="13">
        <f>$G$29</f>
        <v>0.0</v>
      </c>
      <c r="D30" s="13">
        <f>ROUND(IF($C$30&lt;=0,0,$C$30*StoreCardAPR/12),2)</f>
        <v>0.0</v>
      </c>
      <c r="E30" s="13">
        <f>ROUND(IF($C$30&lt;=0,0,MIN(StoreCardMinPayment,$C$30+$D$30)),2)</f>
        <v>0.0</v>
      </c>
      <c r="F30" s="13">
        <f>ROUND(IF($C$30&lt;=0,0,MIN(MAX(0,$C$30+$D$30-$E$30),MAX(0,$AD$30))),2)</f>
        <v>0.0</v>
      </c>
      <c r="G30" s="13">
        <f>ROUND(MAX(0,$C$30+$D$30-$E$30-$F$30),2)</f>
        <v>0.0</v>
      </c>
      <c r="H30" s="13">
        <f>$L$29</f>
        <v>523.49</v>
      </c>
      <c r="I30" s="13">
        <f>ROUND(IF($H$30&lt;=0,0,$H$30*CreditUnionVisaAPR/12),2)</f>
        <v>10.9</v>
      </c>
      <c r="J30" s="13">
        <f>ROUND(IF($H$30&lt;=0,0,MIN(CreditUnionVisaMinPayment,$H$30+$I$30)),2)</f>
        <v>192.0</v>
      </c>
      <c r="K30" s="13">
        <f>ROUND(IF($H$30&lt;=0,0,MIN(MAX(0,$H$30+$I$30-$J$30),MAX(0,$AD$30-$F$30))),2)</f>
        <v>322.0</v>
      </c>
      <c r="L30" s="13">
        <f>ROUND(MAX(0,$H$30+$I$30-$J$30-$K$30),2)</f>
        <v>20.39</v>
      </c>
      <c r="M30" s="13">
        <f>$Q$29</f>
        <v>2574.37</v>
      </c>
      <c r="N30" s="13">
        <f>ROUND(IF($M$30&lt;=0,0,$M$30*PersonalLoanAPR/12),2)</f>
        <v>26.79</v>
      </c>
      <c r="O30" s="13">
        <f>ROUND(IF($M$30&lt;=0,0,MIN(PersonalLoanMinPayment,$M$30+$N$30)),2)</f>
        <v>174.0</v>
      </c>
      <c r="P30" s="13">
        <f>ROUND(IF($M$30&lt;=0,0,MIN(MAX(0,$M$30+$N$30-$O$30),MAX(0,$AD$30-$F$30-$K$30))),2)</f>
        <v>0.0</v>
      </c>
      <c r="Q30" s="13">
        <f>ROUND(MAX(0,$M$30+$N$30-$O$30-$P$30),2)</f>
        <v>2427.16</v>
      </c>
      <c r="R30" s="13">
        <f>$V$29</f>
        <v>5398.63</v>
      </c>
      <c r="S30" s="13">
        <f>ROUND(IF($R$30&lt;=0,0,$R$30*UsedAutoLoanAPR/12),2)</f>
        <v>28.07</v>
      </c>
      <c r="T30" s="13">
        <f>ROUND(IF($R$30&lt;=0,0,MIN(UsedAutoLoanMinPayment,$R$30+$S$30)),2)</f>
        <v>212.0</v>
      </c>
      <c r="U30" s="13">
        <f>ROUND(IF($R$30&lt;=0,0,MIN(MAX(0,$R$30+$S$30-$T$30),MAX(0,$AD$30-$F$30-$K$30-$P$30))),2)</f>
        <v>0.0</v>
      </c>
      <c r="V30" s="13">
        <f>ROUND(MAX(0,$R$30+$S$30-$T$30-$U$30),2)</f>
        <v>5214.7</v>
      </c>
      <c r="W30" s="13">
        <f>$AA$29</f>
        <v>0.0</v>
      </c>
      <c r="X30" s="13">
        <f>ROUND(IF($W$30&lt;=0,0,$W$30*MedicalPlanAPR/12),2)</f>
        <v>0.0</v>
      </c>
      <c r="Y30" s="13">
        <f>ROUND(IF($W$30&lt;=0,0,MIN(MedicalPlanMinPayment,$W$30+$X$30)),2)</f>
        <v>0.0</v>
      </c>
      <c r="Z30" s="13">
        <f>ROUND(IF($W$30&lt;=0,0,MIN(MAX(0,$W$30+$X$30-$Y$30),MAX(0,$AD$30-$F$30-$K$30-$P$30-$U$30))),2)</f>
        <v>0.0</v>
      </c>
      <c r="AA30" s="13">
        <f>ROUND(MAX(0,$W$30+$X$30-$Y$30-$Z$30),2)</f>
        <v>0.0</v>
      </c>
      <c r="AB30" s="13">
        <f>ROUND(NoWindfallBaseExtra+NoWindfallPermanentLift+IF(A30&lt;=NoWindfallTempMonths,NoWindfallTempBoost,0),2)</f>
        <v>190.0</v>
      </c>
      <c r="AC30" s="13">
        <f>IF(A30=NoWindfallWindfallMonth,NoWindfallWindfall,0)</f>
        <v>0.0</v>
      </c>
      <c r="AD30" s="13">
        <f>ROUND($AB$30+$AC$30+IF($G$29&lt;=0,StoreCardMinPayment,0)+IF($L$29&lt;=0,CreditUnionVisaMinPayment,0)+IF($Q$29&lt;=0,PersonalLoanMinPayment,0)+IF($V$29&lt;=0,UsedAutoLoanMinPayment,0)+IF($AA$29&lt;=0,MedicalPlanMinPayment,0),2)</f>
        <v>322.0</v>
      </c>
      <c r="AE30" s="18" t="str">
        <f>IF($F$30&gt;0,Inputs!A6,IF($K$30&gt;0,Inputs!A7,IF($P$30&gt;0,Inputs!A8,IF($U$30&gt;0,Inputs!A9,IF($Z$30&gt;0,Inputs!A5,"")))))</f>
        <v>Credit Union Visa</v>
      </c>
      <c r="AF30" s="13">
        <f>ROUND(SUM($D$30,$I$30,$N$30,$S$30,$X$30),2)</f>
        <v>65.76</v>
      </c>
      <c r="AG30" s="13">
        <f>ROUND(SUM($G$30,$L$30,$Q$30,$V$30,$AA$30),2)</f>
        <v>7662.25</v>
      </c>
    </row>
    <row r="31" spans="1:33">
      <c r="A31" s="17">
        <f>ROW()-3</f>
        <v>27</v>
      </c>
      <c r="B31" s="18" t="str">
        <f>TEXT(EDATE(StartDate,A31-1),"mmm yyyy")</f>
        <v>Jun 2028</v>
      </c>
      <c r="C31" s="13">
        <f>$G$30</f>
        <v>0.0</v>
      </c>
      <c r="D31" s="13">
        <f>ROUND(IF($C$31&lt;=0,0,$C$31*StoreCardAPR/12),2)</f>
        <v>0.0</v>
      </c>
      <c r="E31" s="13">
        <f>ROUND(IF($C$31&lt;=0,0,MIN(StoreCardMinPayment,$C$31+$D$31)),2)</f>
        <v>0.0</v>
      </c>
      <c r="F31" s="13">
        <f>ROUND(IF($C$31&lt;=0,0,MIN(MAX(0,$C$31+$D$31-$E$31),MAX(0,$AD$31))),2)</f>
        <v>0.0</v>
      </c>
      <c r="G31" s="13">
        <f>ROUND(MAX(0,$C$31+$D$31-$E$31-$F$31),2)</f>
        <v>0.0</v>
      </c>
      <c r="H31" s="13">
        <f>$L$30</f>
        <v>20.39</v>
      </c>
      <c r="I31" s="13">
        <f>ROUND(IF($H$31&lt;=0,0,$H$31*CreditUnionVisaAPR/12),2)</f>
        <v>0.42</v>
      </c>
      <c r="J31" s="13">
        <f>ROUND(IF($H$31&lt;=0,0,MIN(CreditUnionVisaMinPayment,$H$31+$I$31)),2)</f>
        <v>20.81</v>
      </c>
      <c r="K31" s="13">
        <f>ROUND(IF($H$31&lt;=0,0,MIN(MAX(0,$H$31+$I$31-$J$31),MAX(0,$AD$31-$F$31))),2)</f>
        <v>0.0</v>
      </c>
      <c r="L31" s="13">
        <f>ROUND(MAX(0,$H$31+$I$31-$J$31-$K$31),2)</f>
        <v>0.0</v>
      </c>
      <c r="M31" s="13">
        <f>$Q$30</f>
        <v>2427.16</v>
      </c>
      <c r="N31" s="13">
        <f>ROUND(IF($M$31&lt;=0,0,$M$31*PersonalLoanAPR/12),2)</f>
        <v>25.26</v>
      </c>
      <c r="O31" s="13">
        <f>ROUND(IF($M$31&lt;=0,0,MIN(PersonalLoanMinPayment,$M$31+$N$31)),2)</f>
        <v>174.0</v>
      </c>
      <c r="P31" s="13">
        <f>ROUND(IF($M$31&lt;=0,0,MIN(MAX(0,$M$31+$N$31-$O$31),MAX(0,$AD$31-$F$31-$K$31))),2)</f>
        <v>322.0</v>
      </c>
      <c r="Q31" s="13">
        <f>ROUND(MAX(0,$M$31+$N$31-$O$31-$P$31),2)</f>
        <v>1956.42</v>
      </c>
      <c r="R31" s="13">
        <f>$V$30</f>
        <v>5214.7</v>
      </c>
      <c r="S31" s="13">
        <f>ROUND(IF($R$31&lt;=0,0,$R$31*UsedAutoLoanAPR/12),2)</f>
        <v>27.12</v>
      </c>
      <c r="T31" s="13">
        <f>ROUND(IF($R$31&lt;=0,0,MIN(UsedAutoLoanMinPayment,$R$31+$S$31)),2)</f>
        <v>212.0</v>
      </c>
      <c r="U31" s="13">
        <f>ROUND(IF($R$31&lt;=0,0,MIN(MAX(0,$R$31+$S$31-$T$31),MAX(0,$AD$31-$F$31-$K$31-$P$31))),2)</f>
        <v>0.0</v>
      </c>
      <c r="V31" s="13">
        <f>ROUND(MAX(0,$R$31+$S$31-$T$31-$U$31),2)</f>
        <v>5029.82</v>
      </c>
      <c r="W31" s="13">
        <f>$AA$30</f>
        <v>0.0</v>
      </c>
      <c r="X31" s="13">
        <f>ROUND(IF($W$31&lt;=0,0,$W$31*MedicalPlanAPR/12),2)</f>
        <v>0.0</v>
      </c>
      <c r="Y31" s="13">
        <f>ROUND(IF($W$31&lt;=0,0,MIN(MedicalPlanMinPayment,$W$31+$X$31)),2)</f>
        <v>0.0</v>
      </c>
      <c r="Z31" s="13">
        <f>ROUND(IF($W$31&lt;=0,0,MIN(MAX(0,$W$31+$X$31-$Y$31),MAX(0,$AD$31-$F$31-$K$31-$P$31-$U$31))),2)</f>
        <v>0.0</v>
      </c>
      <c r="AA31" s="13">
        <f>ROUND(MAX(0,$W$31+$X$31-$Y$31-$Z$31),2)</f>
        <v>0.0</v>
      </c>
      <c r="AB31" s="13">
        <f>ROUND(NoWindfallBaseExtra+NoWindfallPermanentLift+IF(A31&lt;=NoWindfallTempMonths,NoWindfallTempBoost,0),2)</f>
        <v>190.0</v>
      </c>
      <c r="AC31" s="13">
        <f>IF(A31=NoWindfallWindfallMonth,NoWindfallWindfall,0)</f>
        <v>0.0</v>
      </c>
      <c r="AD31" s="13">
        <f>ROUND($AB$31+$AC$31+IF($G$30&lt;=0,StoreCardMinPayment,0)+IF($L$30&lt;=0,CreditUnionVisaMinPayment,0)+IF($Q$30&lt;=0,PersonalLoanMinPayment,0)+IF($V$30&lt;=0,UsedAutoLoanMinPayment,0)+IF($AA$30&lt;=0,MedicalPlanMinPayment,0),2)</f>
        <v>322.0</v>
      </c>
      <c r="AE31" s="18" t="str">
        <f>IF($F$31&gt;0,Inputs!A6,IF($K$31&gt;0,Inputs!A7,IF($P$31&gt;0,Inputs!A8,IF($U$31&gt;0,Inputs!A9,IF($Z$31&gt;0,Inputs!A5,"")))))</f>
        <v>Personal Loan</v>
      </c>
      <c r="AF31" s="13">
        <f>ROUND(SUM($D$31,$I$31,$N$31,$S$31,$X$31),2)</f>
        <v>52.8</v>
      </c>
      <c r="AG31" s="13">
        <f>ROUND(SUM($G$31,$L$31,$Q$31,$V$31,$AA$31),2)</f>
        <v>6986.24</v>
      </c>
    </row>
    <row r="32" spans="1:33">
      <c r="A32" s="17">
        <f>ROW()-3</f>
        <v>28</v>
      </c>
      <c r="B32" s="18" t="str">
        <f>TEXT(EDATE(StartDate,A32-1),"mmm yyyy")</f>
        <v>Jul 2028</v>
      </c>
      <c r="C32" s="13">
        <f>$G$31</f>
        <v>0.0</v>
      </c>
      <c r="D32" s="13">
        <f>ROUND(IF($C$32&lt;=0,0,$C$32*StoreCardAPR/12),2)</f>
        <v>0.0</v>
      </c>
      <c r="E32" s="13">
        <f>ROUND(IF($C$32&lt;=0,0,MIN(StoreCardMinPayment,$C$32+$D$32)),2)</f>
        <v>0.0</v>
      </c>
      <c r="F32" s="13">
        <f>ROUND(IF($C$32&lt;=0,0,MIN(MAX(0,$C$32+$D$32-$E$32),MAX(0,$AD$32))),2)</f>
        <v>0.0</v>
      </c>
      <c r="G32" s="13">
        <f>ROUND(MAX(0,$C$32+$D$32-$E$32-$F$32),2)</f>
        <v>0.0</v>
      </c>
      <c r="H32" s="13">
        <f>$L$31</f>
        <v>0.0</v>
      </c>
      <c r="I32" s="13">
        <f>ROUND(IF($H$32&lt;=0,0,$H$32*CreditUnionVisaAPR/12),2)</f>
        <v>0.0</v>
      </c>
      <c r="J32" s="13">
        <f>ROUND(IF($H$32&lt;=0,0,MIN(CreditUnionVisaMinPayment,$H$32+$I$32)),2)</f>
        <v>0.0</v>
      </c>
      <c r="K32" s="13">
        <f>ROUND(IF($H$32&lt;=0,0,MIN(MAX(0,$H$32+$I$32-$J$32),MAX(0,$AD$32-$F$32))),2)</f>
        <v>0.0</v>
      </c>
      <c r="L32" s="13">
        <f>ROUND(MAX(0,$H$32+$I$32-$J$32-$K$32),2)</f>
        <v>0.0</v>
      </c>
      <c r="M32" s="13">
        <f>$Q$31</f>
        <v>1956.42</v>
      </c>
      <c r="N32" s="13">
        <f>ROUND(IF($M$32&lt;=0,0,$M$32*PersonalLoanAPR/12),2)</f>
        <v>20.36</v>
      </c>
      <c r="O32" s="13">
        <f>ROUND(IF($M$32&lt;=0,0,MIN(PersonalLoanMinPayment,$M$32+$N$32)),2)</f>
        <v>174.0</v>
      </c>
      <c r="P32" s="13">
        <f>ROUND(IF($M$32&lt;=0,0,MIN(MAX(0,$M$32+$N$32-$O$32),MAX(0,$AD$32-$F$32-$K$32))),2)</f>
        <v>514.0</v>
      </c>
      <c r="Q32" s="13">
        <f>ROUND(MAX(0,$M$32+$N$32-$O$32-$P$32),2)</f>
        <v>1288.78</v>
      </c>
      <c r="R32" s="13">
        <f>$V$31</f>
        <v>5029.82</v>
      </c>
      <c r="S32" s="13">
        <f>ROUND(IF($R$32&lt;=0,0,$R$32*UsedAutoLoanAPR/12),2)</f>
        <v>26.16</v>
      </c>
      <c r="T32" s="13">
        <f>ROUND(IF($R$32&lt;=0,0,MIN(UsedAutoLoanMinPayment,$R$32+$S$32)),2)</f>
        <v>212.0</v>
      </c>
      <c r="U32" s="13">
        <f>ROUND(IF($R$32&lt;=0,0,MIN(MAX(0,$R$32+$S$32-$T$32),MAX(0,$AD$32-$F$32-$K$32-$P$32))),2)</f>
        <v>0.0</v>
      </c>
      <c r="V32" s="13">
        <f>ROUND(MAX(0,$R$32+$S$32-$T$32-$U$32),2)</f>
        <v>4843.98</v>
      </c>
      <c r="W32" s="13">
        <f>$AA$31</f>
        <v>0.0</v>
      </c>
      <c r="X32" s="13">
        <f>ROUND(IF($W$32&lt;=0,0,$W$32*MedicalPlanAPR/12),2)</f>
        <v>0.0</v>
      </c>
      <c r="Y32" s="13">
        <f>ROUND(IF($W$32&lt;=0,0,MIN(MedicalPlanMinPayment,$W$32+$X$32)),2)</f>
        <v>0.0</v>
      </c>
      <c r="Z32" s="13">
        <f>ROUND(IF($W$32&lt;=0,0,MIN(MAX(0,$W$32+$X$32-$Y$32),MAX(0,$AD$32-$F$32-$K$32-$P$32-$U$32))),2)</f>
        <v>0.0</v>
      </c>
      <c r="AA32" s="13">
        <f>ROUND(MAX(0,$W$32+$X$32-$Y$32-$Z$32),2)</f>
        <v>0.0</v>
      </c>
      <c r="AB32" s="13">
        <f>ROUND(NoWindfallBaseExtra+NoWindfallPermanentLift+IF(A32&lt;=NoWindfallTempMonths,NoWindfallTempBoost,0),2)</f>
        <v>190.0</v>
      </c>
      <c r="AC32" s="13">
        <f>IF(A32=NoWindfallWindfallMonth,NoWindfallWindfall,0)</f>
        <v>0.0</v>
      </c>
      <c r="AD32" s="13">
        <f>ROUND($AB$32+$AC$32+IF($G$31&lt;=0,StoreCardMinPayment,0)+IF($L$31&lt;=0,CreditUnionVisaMinPayment,0)+IF($Q$31&lt;=0,PersonalLoanMinPayment,0)+IF($V$31&lt;=0,UsedAutoLoanMinPayment,0)+IF($AA$31&lt;=0,MedicalPlanMinPayment,0),2)</f>
        <v>514.0</v>
      </c>
      <c r="AE32" s="18" t="str">
        <f>IF($F$32&gt;0,Inputs!A6,IF($K$32&gt;0,Inputs!A7,IF($P$32&gt;0,Inputs!A8,IF($U$32&gt;0,Inputs!A9,IF($Z$32&gt;0,Inputs!A5,"")))))</f>
        <v>Personal Loan</v>
      </c>
      <c r="AF32" s="13">
        <f>ROUND(SUM($D$32,$I$32,$N$32,$S$32,$X$32),2)</f>
        <v>46.52</v>
      </c>
      <c r="AG32" s="13">
        <f>ROUND(SUM($G$32,$L$32,$Q$32,$V$32,$AA$32),2)</f>
        <v>6132.76</v>
      </c>
    </row>
    <row r="33" spans="1:33">
      <c r="A33" s="17">
        <f>ROW()-3</f>
        <v>29</v>
      </c>
      <c r="B33" s="18" t="str">
        <f>TEXT(EDATE(StartDate,A33-1),"mmm yyyy")</f>
        <v>Aug 2028</v>
      </c>
      <c r="C33" s="13">
        <f>$G$32</f>
        <v>0.0</v>
      </c>
      <c r="D33" s="13">
        <f>ROUND(IF($C$33&lt;=0,0,$C$33*StoreCardAPR/12),2)</f>
        <v>0.0</v>
      </c>
      <c r="E33" s="13">
        <f>ROUND(IF($C$33&lt;=0,0,MIN(StoreCardMinPayment,$C$33+$D$33)),2)</f>
        <v>0.0</v>
      </c>
      <c r="F33" s="13">
        <f>ROUND(IF($C$33&lt;=0,0,MIN(MAX(0,$C$33+$D$33-$E$33),MAX(0,$AD$33))),2)</f>
        <v>0.0</v>
      </c>
      <c r="G33" s="13">
        <f>ROUND(MAX(0,$C$33+$D$33-$E$33-$F$33),2)</f>
        <v>0.0</v>
      </c>
      <c r="H33" s="13">
        <f>$L$32</f>
        <v>0.0</v>
      </c>
      <c r="I33" s="13">
        <f>ROUND(IF($H$33&lt;=0,0,$H$33*CreditUnionVisaAPR/12),2)</f>
        <v>0.0</v>
      </c>
      <c r="J33" s="13">
        <f>ROUND(IF($H$33&lt;=0,0,MIN(CreditUnionVisaMinPayment,$H$33+$I$33)),2)</f>
        <v>0.0</v>
      </c>
      <c r="K33" s="13">
        <f>ROUND(IF($H$33&lt;=0,0,MIN(MAX(0,$H$33+$I$33-$J$33),MAX(0,$AD$33-$F$33))),2)</f>
        <v>0.0</v>
      </c>
      <c r="L33" s="13">
        <f>ROUND(MAX(0,$H$33+$I$33-$J$33-$K$33),2)</f>
        <v>0.0</v>
      </c>
      <c r="M33" s="13">
        <f>$Q$32</f>
        <v>1288.78</v>
      </c>
      <c r="N33" s="13">
        <f>ROUND(IF($M$33&lt;=0,0,$M$33*PersonalLoanAPR/12),2)</f>
        <v>13.41</v>
      </c>
      <c r="O33" s="13">
        <f>ROUND(IF($M$33&lt;=0,0,MIN(PersonalLoanMinPayment,$M$33+$N$33)),2)</f>
        <v>174.0</v>
      </c>
      <c r="P33" s="13">
        <f>ROUND(IF($M$33&lt;=0,0,MIN(MAX(0,$M$33+$N$33-$O$33),MAX(0,$AD$33-$F$33-$K$33))),2)</f>
        <v>514.0</v>
      </c>
      <c r="Q33" s="13">
        <f>ROUND(MAX(0,$M$33+$N$33-$O$33-$P$33),2)</f>
        <v>614.19</v>
      </c>
      <c r="R33" s="13">
        <f>$V$32</f>
        <v>4843.98</v>
      </c>
      <c r="S33" s="13">
        <f>ROUND(IF($R$33&lt;=0,0,$R$33*UsedAutoLoanAPR/12),2)</f>
        <v>25.19</v>
      </c>
      <c r="T33" s="13">
        <f>ROUND(IF($R$33&lt;=0,0,MIN(UsedAutoLoanMinPayment,$R$33+$S$33)),2)</f>
        <v>212.0</v>
      </c>
      <c r="U33" s="13">
        <f>ROUND(IF($R$33&lt;=0,0,MIN(MAX(0,$R$33+$S$33-$T$33),MAX(0,$AD$33-$F$33-$K$33-$P$33))),2)</f>
        <v>0.0</v>
      </c>
      <c r="V33" s="13">
        <f>ROUND(MAX(0,$R$33+$S$33-$T$33-$U$33),2)</f>
        <v>4657.17</v>
      </c>
      <c r="W33" s="13">
        <f>$AA$32</f>
        <v>0.0</v>
      </c>
      <c r="X33" s="13">
        <f>ROUND(IF($W$33&lt;=0,0,$W$33*MedicalPlanAPR/12),2)</f>
        <v>0.0</v>
      </c>
      <c r="Y33" s="13">
        <f>ROUND(IF($W$33&lt;=0,0,MIN(MedicalPlanMinPayment,$W$33+$X$33)),2)</f>
        <v>0.0</v>
      </c>
      <c r="Z33" s="13">
        <f>ROUND(IF($W$33&lt;=0,0,MIN(MAX(0,$W$33+$X$33-$Y$33),MAX(0,$AD$33-$F$33-$K$33-$P$33-$U$33))),2)</f>
        <v>0.0</v>
      </c>
      <c r="AA33" s="13">
        <f>ROUND(MAX(0,$W$33+$X$33-$Y$33-$Z$33),2)</f>
        <v>0.0</v>
      </c>
      <c r="AB33" s="13">
        <f>ROUND(NoWindfallBaseExtra+NoWindfallPermanentLift+IF(A33&lt;=NoWindfallTempMonths,NoWindfallTempBoost,0),2)</f>
        <v>190.0</v>
      </c>
      <c r="AC33" s="13">
        <f>IF(A33=NoWindfallWindfallMonth,NoWindfallWindfall,0)</f>
        <v>0.0</v>
      </c>
      <c r="AD33" s="13">
        <f>ROUND($AB$33+$AC$33+IF($G$32&lt;=0,StoreCardMinPayment,0)+IF($L$32&lt;=0,CreditUnionVisaMinPayment,0)+IF($Q$32&lt;=0,PersonalLoanMinPayment,0)+IF($V$32&lt;=0,UsedAutoLoanMinPayment,0)+IF($AA$32&lt;=0,MedicalPlanMinPayment,0),2)</f>
        <v>514.0</v>
      </c>
      <c r="AE33" s="18" t="str">
        <f>IF($F$33&gt;0,Inputs!A6,IF($K$33&gt;0,Inputs!A7,IF($P$33&gt;0,Inputs!A8,IF($U$33&gt;0,Inputs!A9,IF($Z$33&gt;0,Inputs!A5,"")))))</f>
        <v>Personal Loan</v>
      </c>
      <c r="AF33" s="13">
        <f>ROUND(SUM($D$33,$I$33,$N$33,$S$33,$X$33),2)</f>
        <v>38.6</v>
      </c>
      <c r="AG33" s="13">
        <f>ROUND(SUM($G$33,$L$33,$Q$33,$V$33,$AA$33),2)</f>
        <v>5271.36</v>
      </c>
    </row>
    <row r="34" spans="1:33">
      <c r="A34" s="17">
        <f>ROW()-3</f>
        <v>30</v>
      </c>
      <c r="B34" s="18" t="str">
        <f>TEXT(EDATE(StartDate,A34-1),"mmm yyyy")</f>
        <v>Sep 2028</v>
      </c>
      <c r="C34" s="13">
        <f>$G$33</f>
        <v>0.0</v>
      </c>
      <c r="D34" s="13">
        <f>ROUND(IF($C$34&lt;=0,0,$C$34*StoreCardAPR/12),2)</f>
        <v>0.0</v>
      </c>
      <c r="E34" s="13">
        <f>ROUND(IF($C$34&lt;=0,0,MIN(StoreCardMinPayment,$C$34+$D$34)),2)</f>
        <v>0.0</v>
      </c>
      <c r="F34" s="13">
        <f>ROUND(IF($C$34&lt;=0,0,MIN(MAX(0,$C$34+$D$34-$E$34),MAX(0,$AD$34))),2)</f>
        <v>0.0</v>
      </c>
      <c r="G34" s="13">
        <f>ROUND(MAX(0,$C$34+$D$34-$E$34-$F$34),2)</f>
        <v>0.0</v>
      </c>
      <c r="H34" s="13">
        <f>$L$33</f>
        <v>0.0</v>
      </c>
      <c r="I34" s="13">
        <f>ROUND(IF($H$34&lt;=0,0,$H$34*CreditUnionVisaAPR/12),2)</f>
        <v>0.0</v>
      </c>
      <c r="J34" s="13">
        <f>ROUND(IF($H$34&lt;=0,0,MIN(CreditUnionVisaMinPayment,$H$34+$I$34)),2)</f>
        <v>0.0</v>
      </c>
      <c r="K34" s="13">
        <f>ROUND(IF($H$34&lt;=0,0,MIN(MAX(0,$H$34+$I$34-$J$34),MAX(0,$AD$34-$F$34))),2)</f>
        <v>0.0</v>
      </c>
      <c r="L34" s="13">
        <f>ROUND(MAX(0,$H$34+$I$34-$J$34-$K$34),2)</f>
        <v>0.0</v>
      </c>
      <c r="M34" s="13">
        <f>$Q$33</f>
        <v>614.19</v>
      </c>
      <c r="N34" s="13">
        <f>ROUND(IF($M$34&lt;=0,0,$M$34*PersonalLoanAPR/12),2)</f>
        <v>6.39</v>
      </c>
      <c r="O34" s="13">
        <f>ROUND(IF($M$34&lt;=0,0,MIN(PersonalLoanMinPayment,$M$34+$N$34)),2)</f>
        <v>174.0</v>
      </c>
      <c r="P34" s="13">
        <f>ROUND(IF($M$34&lt;=0,0,MIN(MAX(0,$M$34+$N$34-$O$34),MAX(0,$AD$34-$F$34-$K$34))),2)</f>
        <v>446.58</v>
      </c>
      <c r="Q34" s="13">
        <f>ROUND(MAX(0,$M$34+$N$34-$O$34-$P$34),2)</f>
        <v>0.0</v>
      </c>
      <c r="R34" s="13">
        <f>$V$33</f>
        <v>4657.17</v>
      </c>
      <c r="S34" s="13">
        <f>ROUND(IF($R$34&lt;=0,0,$R$34*UsedAutoLoanAPR/12),2)</f>
        <v>24.22</v>
      </c>
      <c r="T34" s="13">
        <f>ROUND(IF($R$34&lt;=0,0,MIN(UsedAutoLoanMinPayment,$R$34+$S$34)),2)</f>
        <v>212.0</v>
      </c>
      <c r="U34" s="13">
        <f>ROUND(IF($R$34&lt;=0,0,MIN(MAX(0,$R$34+$S$34-$T$34),MAX(0,$AD$34-$F$34-$K$34-$P$34))),2)</f>
        <v>67.42</v>
      </c>
      <c r="V34" s="13">
        <f>ROUND(MAX(0,$R$34+$S$34-$T$34-$U$34),2)</f>
        <v>4401.97</v>
      </c>
      <c r="W34" s="13">
        <f>$AA$33</f>
        <v>0.0</v>
      </c>
      <c r="X34" s="13">
        <f>ROUND(IF($W$34&lt;=0,0,$W$34*MedicalPlanAPR/12),2)</f>
        <v>0.0</v>
      </c>
      <c r="Y34" s="13">
        <f>ROUND(IF($W$34&lt;=0,0,MIN(MedicalPlanMinPayment,$W$34+$X$34)),2)</f>
        <v>0.0</v>
      </c>
      <c r="Z34" s="13">
        <f>ROUND(IF($W$34&lt;=0,0,MIN(MAX(0,$W$34+$X$34-$Y$34),MAX(0,$AD$34-$F$34-$K$34-$P$34-$U$34))),2)</f>
        <v>0.0</v>
      </c>
      <c r="AA34" s="13">
        <f>ROUND(MAX(0,$W$34+$X$34-$Y$34-$Z$34),2)</f>
        <v>0.0</v>
      </c>
      <c r="AB34" s="13">
        <f>ROUND(NoWindfallBaseExtra+NoWindfallPermanentLift+IF(A34&lt;=NoWindfallTempMonths,NoWindfallTempBoost,0),2)</f>
        <v>190.0</v>
      </c>
      <c r="AC34" s="13">
        <f>IF(A34=NoWindfallWindfallMonth,NoWindfallWindfall,0)</f>
        <v>0.0</v>
      </c>
      <c r="AD34" s="13">
        <f>ROUND($AB$34+$AC$34+IF($G$33&lt;=0,StoreCardMinPayment,0)+IF($L$33&lt;=0,CreditUnionVisaMinPayment,0)+IF($Q$33&lt;=0,PersonalLoanMinPayment,0)+IF($V$33&lt;=0,UsedAutoLoanMinPayment,0)+IF($AA$33&lt;=0,MedicalPlanMinPayment,0),2)</f>
        <v>514.0</v>
      </c>
      <c r="AE34" s="18" t="str">
        <f>IF($F$34&gt;0,Inputs!A6,IF($K$34&gt;0,Inputs!A7,IF($P$34&gt;0,Inputs!A8,IF($U$34&gt;0,Inputs!A9,IF($Z$34&gt;0,Inputs!A5,"")))))</f>
        <v>Personal Loan</v>
      </c>
      <c r="AF34" s="13">
        <f>ROUND(SUM($D$34,$I$34,$N$34,$S$34,$X$34),2)</f>
        <v>30.61</v>
      </c>
      <c r="AG34" s="13">
        <f>ROUND(SUM($G$34,$L$34,$Q$34,$V$34,$AA$34),2)</f>
        <v>4401.97</v>
      </c>
    </row>
    <row r="35" spans="1:33">
      <c r="A35" s="17">
        <f>ROW()-3</f>
        <v>31</v>
      </c>
      <c r="B35" s="18" t="str">
        <f>TEXT(EDATE(StartDate,A35-1),"mmm yyyy")</f>
        <v>Oct 2028</v>
      </c>
      <c r="C35" s="13">
        <f>$G$34</f>
        <v>0.0</v>
      </c>
      <c r="D35" s="13">
        <f>ROUND(IF($C$35&lt;=0,0,$C$35*StoreCardAPR/12),2)</f>
        <v>0.0</v>
      </c>
      <c r="E35" s="13">
        <f>ROUND(IF($C$35&lt;=0,0,MIN(StoreCardMinPayment,$C$35+$D$35)),2)</f>
        <v>0.0</v>
      </c>
      <c r="F35" s="13">
        <f>ROUND(IF($C$35&lt;=0,0,MIN(MAX(0,$C$35+$D$35-$E$35),MAX(0,$AD$35))),2)</f>
        <v>0.0</v>
      </c>
      <c r="G35" s="13">
        <f>ROUND(MAX(0,$C$35+$D$35-$E$35-$F$35),2)</f>
        <v>0.0</v>
      </c>
      <c r="H35" s="13">
        <f>$L$34</f>
        <v>0.0</v>
      </c>
      <c r="I35" s="13">
        <f>ROUND(IF($H$35&lt;=0,0,$H$35*CreditUnionVisaAPR/12),2)</f>
        <v>0.0</v>
      </c>
      <c r="J35" s="13">
        <f>ROUND(IF($H$35&lt;=0,0,MIN(CreditUnionVisaMinPayment,$H$35+$I$35)),2)</f>
        <v>0.0</v>
      </c>
      <c r="K35" s="13">
        <f>ROUND(IF($H$35&lt;=0,0,MIN(MAX(0,$H$35+$I$35-$J$35),MAX(0,$AD$35-$F$35))),2)</f>
        <v>0.0</v>
      </c>
      <c r="L35" s="13">
        <f>ROUND(MAX(0,$H$35+$I$35-$J$35-$K$35),2)</f>
        <v>0.0</v>
      </c>
      <c r="M35" s="13">
        <f>$Q$34</f>
        <v>0.0</v>
      </c>
      <c r="N35" s="13">
        <f>ROUND(IF($M$35&lt;=0,0,$M$35*PersonalLoanAPR/12),2)</f>
        <v>0.0</v>
      </c>
      <c r="O35" s="13">
        <f>ROUND(IF($M$35&lt;=0,0,MIN(PersonalLoanMinPayment,$M$35+$N$35)),2)</f>
        <v>0.0</v>
      </c>
      <c r="P35" s="13">
        <f>ROUND(IF($M$35&lt;=0,0,MIN(MAX(0,$M$35+$N$35-$O$35),MAX(0,$AD$35-$F$35-$K$35))),2)</f>
        <v>0.0</v>
      </c>
      <c r="Q35" s="13">
        <f>ROUND(MAX(0,$M$35+$N$35-$O$35-$P$35),2)</f>
        <v>0.0</v>
      </c>
      <c r="R35" s="13">
        <f>$V$34</f>
        <v>4401.97</v>
      </c>
      <c r="S35" s="13">
        <f>ROUND(IF($R$35&lt;=0,0,$R$35*UsedAutoLoanAPR/12),2)</f>
        <v>22.89</v>
      </c>
      <c r="T35" s="13">
        <f>ROUND(IF($R$35&lt;=0,0,MIN(UsedAutoLoanMinPayment,$R$35+$S$35)),2)</f>
        <v>212.0</v>
      </c>
      <c r="U35" s="13">
        <f>ROUND(IF($R$35&lt;=0,0,MIN(MAX(0,$R$35+$S$35-$T$35),MAX(0,$AD$35-$F$35-$K$35-$P$35))),2)</f>
        <v>688.0</v>
      </c>
      <c r="V35" s="13">
        <f>ROUND(MAX(0,$R$35+$S$35-$T$35-$U$35),2)</f>
        <v>3524.86</v>
      </c>
      <c r="W35" s="13">
        <f>$AA$34</f>
        <v>0.0</v>
      </c>
      <c r="X35" s="13">
        <f>ROUND(IF($W$35&lt;=0,0,$W$35*MedicalPlanAPR/12),2)</f>
        <v>0.0</v>
      </c>
      <c r="Y35" s="13">
        <f>ROUND(IF($W$35&lt;=0,0,MIN(MedicalPlanMinPayment,$W$35+$X$35)),2)</f>
        <v>0.0</v>
      </c>
      <c r="Z35" s="13">
        <f>ROUND(IF($W$35&lt;=0,0,MIN(MAX(0,$W$35+$X$35-$Y$35),MAX(0,$AD$35-$F$35-$K$35-$P$35-$U$35))),2)</f>
        <v>0.0</v>
      </c>
      <c r="AA35" s="13">
        <f>ROUND(MAX(0,$W$35+$X$35-$Y$35-$Z$35),2)</f>
        <v>0.0</v>
      </c>
      <c r="AB35" s="13">
        <f>ROUND(NoWindfallBaseExtra+NoWindfallPermanentLift+IF(A35&lt;=NoWindfallTempMonths,NoWindfallTempBoost,0),2)</f>
        <v>190.0</v>
      </c>
      <c r="AC35" s="13">
        <f>IF(A35=NoWindfallWindfallMonth,NoWindfallWindfall,0)</f>
        <v>0.0</v>
      </c>
      <c r="AD35" s="13">
        <f>ROUND($AB$35+$AC$35+IF($G$34&lt;=0,StoreCardMinPayment,0)+IF($L$34&lt;=0,CreditUnionVisaMinPayment,0)+IF($Q$34&lt;=0,PersonalLoanMinPayment,0)+IF($V$34&lt;=0,UsedAutoLoanMinPayment,0)+IF($AA$34&lt;=0,MedicalPlanMinPayment,0),2)</f>
        <v>688.0</v>
      </c>
      <c r="AE35" s="18" t="str">
        <f>IF($F$35&gt;0,Inputs!A6,IF($K$35&gt;0,Inputs!A7,IF($P$35&gt;0,Inputs!A8,IF($U$35&gt;0,Inputs!A9,IF($Z$35&gt;0,Inputs!A5,"")))))</f>
        <v>Used Auto Loan</v>
      </c>
      <c r="AF35" s="13">
        <f>ROUND(SUM($D$35,$I$35,$N$35,$S$35,$X$35),2)</f>
        <v>22.89</v>
      </c>
      <c r="AG35" s="13">
        <f>ROUND(SUM($G$35,$L$35,$Q$35,$V$35,$AA$35),2)</f>
        <v>3524.86</v>
      </c>
    </row>
    <row r="36" spans="1:33">
      <c r="A36" s="17">
        <f>ROW()-3</f>
        <v>32</v>
      </c>
      <c r="B36" s="18" t="str">
        <f>TEXT(EDATE(StartDate,A36-1),"mmm yyyy")</f>
        <v>Nov 2028</v>
      </c>
      <c r="C36" s="13">
        <f>$G$35</f>
        <v>0.0</v>
      </c>
      <c r="D36" s="13">
        <f>ROUND(IF($C$36&lt;=0,0,$C$36*StoreCardAPR/12),2)</f>
        <v>0.0</v>
      </c>
      <c r="E36" s="13">
        <f>ROUND(IF($C$36&lt;=0,0,MIN(StoreCardMinPayment,$C$36+$D$36)),2)</f>
        <v>0.0</v>
      </c>
      <c r="F36" s="13">
        <f>ROUND(IF($C$36&lt;=0,0,MIN(MAX(0,$C$36+$D$36-$E$36),MAX(0,$AD$36))),2)</f>
        <v>0.0</v>
      </c>
      <c r="G36" s="13">
        <f>ROUND(MAX(0,$C$36+$D$36-$E$36-$F$36),2)</f>
        <v>0.0</v>
      </c>
      <c r="H36" s="13">
        <f>$L$35</f>
        <v>0.0</v>
      </c>
      <c r="I36" s="13">
        <f>ROUND(IF($H$36&lt;=0,0,$H$36*CreditUnionVisaAPR/12),2)</f>
        <v>0.0</v>
      </c>
      <c r="J36" s="13">
        <f>ROUND(IF($H$36&lt;=0,0,MIN(CreditUnionVisaMinPayment,$H$36+$I$36)),2)</f>
        <v>0.0</v>
      </c>
      <c r="K36" s="13">
        <f>ROUND(IF($H$36&lt;=0,0,MIN(MAX(0,$H$36+$I$36-$J$36),MAX(0,$AD$36-$F$36))),2)</f>
        <v>0.0</v>
      </c>
      <c r="L36" s="13">
        <f>ROUND(MAX(0,$H$36+$I$36-$J$36-$K$36),2)</f>
        <v>0.0</v>
      </c>
      <c r="M36" s="13">
        <f>$Q$35</f>
        <v>0.0</v>
      </c>
      <c r="N36" s="13">
        <f>ROUND(IF($M$36&lt;=0,0,$M$36*PersonalLoanAPR/12),2)</f>
        <v>0.0</v>
      </c>
      <c r="O36" s="13">
        <f>ROUND(IF($M$36&lt;=0,0,MIN(PersonalLoanMinPayment,$M$36+$N$36)),2)</f>
        <v>0.0</v>
      </c>
      <c r="P36" s="13">
        <f>ROUND(IF($M$36&lt;=0,0,MIN(MAX(0,$M$36+$N$36-$O$36),MAX(0,$AD$36-$F$36-$K$36))),2)</f>
        <v>0.0</v>
      </c>
      <c r="Q36" s="13">
        <f>ROUND(MAX(0,$M$36+$N$36-$O$36-$P$36),2)</f>
        <v>0.0</v>
      </c>
      <c r="R36" s="13">
        <f>$V$35</f>
        <v>3524.86</v>
      </c>
      <c r="S36" s="13">
        <f>ROUND(IF($R$36&lt;=0,0,$R$36*UsedAutoLoanAPR/12),2)</f>
        <v>18.33</v>
      </c>
      <c r="T36" s="13">
        <f>ROUND(IF($R$36&lt;=0,0,MIN(UsedAutoLoanMinPayment,$R$36+$S$36)),2)</f>
        <v>212.0</v>
      </c>
      <c r="U36" s="13">
        <f>ROUND(IF($R$36&lt;=0,0,MIN(MAX(0,$R$36+$S$36-$T$36),MAX(0,$AD$36-$F$36-$K$36-$P$36))),2)</f>
        <v>688.0</v>
      </c>
      <c r="V36" s="13">
        <f>ROUND(MAX(0,$R$36+$S$36-$T$36-$U$36),2)</f>
        <v>2643.19</v>
      </c>
      <c r="W36" s="13">
        <f>$AA$35</f>
        <v>0.0</v>
      </c>
      <c r="X36" s="13">
        <f>ROUND(IF($W$36&lt;=0,0,$W$36*MedicalPlanAPR/12),2)</f>
        <v>0.0</v>
      </c>
      <c r="Y36" s="13">
        <f>ROUND(IF($W$36&lt;=0,0,MIN(MedicalPlanMinPayment,$W$36+$X$36)),2)</f>
        <v>0.0</v>
      </c>
      <c r="Z36" s="13">
        <f>ROUND(IF($W$36&lt;=0,0,MIN(MAX(0,$W$36+$X$36-$Y$36),MAX(0,$AD$36-$F$36-$K$36-$P$36-$U$36))),2)</f>
        <v>0.0</v>
      </c>
      <c r="AA36" s="13">
        <f>ROUND(MAX(0,$W$36+$X$36-$Y$36-$Z$36),2)</f>
        <v>0.0</v>
      </c>
      <c r="AB36" s="13">
        <f>ROUND(NoWindfallBaseExtra+NoWindfallPermanentLift+IF(A36&lt;=NoWindfallTempMonths,NoWindfallTempBoost,0),2)</f>
        <v>190.0</v>
      </c>
      <c r="AC36" s="13">
        <f>IF(A36=NoWindfallWindfallMonth,NoWindfallWindfall,0)</f>
        <v>0.0</v>
      </c>
      <c r="AD36" s="13">
        <f>ROUND($AB$36+$AC$36+IF($G$35&lt;=0,StoreCardMinPayment,0)+IF($L$35&lt;=0,CreditUnionVisaMinPayment,0)+IF($Q$35&lt;=0,PersonalLoanMinPayment,0)+IF($V$35&lt;=0,UsedAutoLoanMinPayment,0)+IF($AA$35&lt;=0,MedicalPlanMinPayment,0),2)</f>
        <v>688.0</v>
      </c>
      <c r="AE36" s="18" t="str">
        <f>IF($F$36&gt;0,Inputs!A6,IF($K$36&gt;0,Inputs!A7,IF($P$36&gt;0,Inputs!A8,IF($U$36&gt;0,Inputs!A9,IF($Z$36&gt;0,Inputs!A5,"")))))</f>
        <v>Used Auto Loan</v>
      </c>
      <c r="AF36" s="13">
        <f>ROUND(SUM($D$36,$I$36,$N$36,$S$36,$X$36),2)</f>
        <v>18.33</v>
      </c>
      <c r="AG36" s="13">
        <f>ROUND(SUM($G$36,$L$36,$Q$36,$V$36,$AA$36),2)</f>
        <v>2643.19</v>
      </c>
    </row>
    <row r="37" spans="1:33">
      <c r="A37" s="17">
        <f>ROW()-3</f>
        <v>33</v>
      </c>
      <c r="B37" s="18" t="str">
        <f>TEXT(EDATE(StartDate,A37-1),"mmm yyyy")</f>
        <v>Dec 2028</v>
      </c>
      <c r="C37" s="13">
        <f>$G$36</f>
        <v>0.0</v>
      </c>
      <c r="D37" s="13">
        <f>ROUND(IF($C$37&lt;=0,0,$C$37*StoreCardAPR/12),2)</f>
        <v>0.0</v>
      </c>
      <c r="E37" s="13">
        <f>ROUND(IF($C$37&lt;=0,0,MIN(StoreCardMinPayment,$C$37+$D$37)),2)</f>
        <v>0.0</v>
      </c>
      <c r="F37" s="13">
        <f>ROUND(IF($C$37&lt;=0,0,MIN(MAX(0,$C$37+$D$37-$E$37),MAX(0,$AD$37))),2)</f>
        <v>0.0</v>
      </c>
      <c r="G37" s="13">
        <f>ROUND(MAX(0,$C$37+$D$37-$E$37-$F$37),2)</f>
        <v>0.0</v>
      </c>
      <c r="H37" s="13">
        <f>$L$36</f>
        <v>0.0</v>
      </c>
      <c r="I37" s="13">
        <f>ROUND(IF($H$37&lt;=0,0,$H$37*CreditUnionVisaAPR/12),2)</f>
        <v>0.0</v>
      </c>
      <c r="J37" s="13">
        <f>ROUND(IF($H$37&lt;=0,0,MIN(CreditUnionVisaMinPayment,$H$37+$I$37)),2)</f>
        <v>0.0</v>
      </c>
      <c r="K37" s="13">
        <f>ROUND(IF($H$37&lt;=0,0,MIN(MAX(0,$H$37+$I$37-$J$37),MAX(0,$AD$37-$F$37))),2)</f>
        <v>0.0</v>
      </c>
      <c r="L37" s="13">
        <f>ROUND(MAX(0,$H$37+$I$37-$J$37-$K$37),2)</f>
        <v>0.0</v>
      </c>
      <c r="M37" s="13">
        <f>$Q$36</f>
        <v>0.0</v>
      </c>
      <c r="N37" s="13">
        <f>ROUND(IF($M$37&lt;=0,0,$M$37*PersonalLoanAPR/12),2)</f>
        <v>0.0</v>
      </c>
      <c r="O37" s="13">
        <f>ROUND(IF($M$37&lt;=0,0,MIN(PersonalLoanMinPayment,$M$37+$N$37)),2)</f>
        <v>0.0</v>
      </c>
      <c r="P37" s="13">
        <f>ROUND(IF($M$37&lt;=0,0,MIN(MAX(0,$M$37+$N$37-$O$37),MAX(0,$AD$37-$F$37-$K$37))),2)</f>
        <v>0.0</v>
      </c>
      <c r="Q37" s="13">
        <f>ROUND(MAX(0,$M$37+$N$37-$O$37-$P$37),2)</f>
        <v>0.0</v>
      </c>
      <c r="R37" s="13">
        <f>$V$36</f>
        <v>2643.19</v>
      </c>
      <c r="S37" s="13">
        <f>ROUND(IF($R$37&lt;=0,0,$R$37*UsedAutoLoanAPR/12),2)</f>
        <v>13.74</v>
      </c>
      <c r="T37" s="13">
        <f>ROUND(IF($R$37&lt;=0,0,MIN(UsedAutoLoanMinPayment,$R$37+$S$37)),2)</f>
        <v>212.0</v>
      </c>
      <c r="U37" s="13">
        <f>ROUND(IF($R$37&lt;=0,0,MIN(MAX(0,$R$37+$S$37-$T$37),MAX(0,$AD$37-$F$37-$K$37-$P$37))),2)</f>
        <v>688.0</v>
      </c>
      <c r="V37" s="13">
        <f>ROUND(MAX(0,$R$37+$S$37-$T$37-$U$37),2)</f>
        <v>1756.93</v>
      </c>
      <c r="W37" s="13">
        <f>$AA$36</f>
        <v>0.0</v>
      </c>
      <c r="X37" s="13">
        <f>ROUND(IF($W$37&lt;=0,0,$W$37*MedicalPlanAPR/12),2)</f>
        <v>0.0</v>
      </c>
      <c r="Y37" s="13">
        <f>ROUND(IF($W$37&lt;=0,0,MIN(MedicalPlanMinPayment,$W$37+$X$37)),2)</f>
        <v>0.0</v>
      </c>
      <c r="Z37" s="13">
        <f>ROUND(IF($W$37&lt;=0,0,MIN(MAX(0,$W$37+$X$37-$Y$37),MAX(0,$AD$37-$F$37-$K$37-$P$37-$U$37))),2)</f>
        <v>0.0</v>
      </c>
      <c r="AA37" s="13">
        <f>ROUND(MAX(0,$W$37+$X$37-$Y$37-$Z$37),2)</f>
        <v>0.0</v>
      </c>
      <c r="AB37" s="13">
        <f>ROUND(NoWindfallBaseExtra+NoWindfallPermanentLift+IF(A37&lt;=NoWindfallTempMonths,NoWindfallTempBoost,0),2)</f>
        <v>190.0</v>
      </c>
      <c r="AC37" s="13">
        <f>IF(A37=NoWindfallWindfallMonth,NoWindfallWindfall,0)</f>
        <v>0.0</v>
      </c>
      <c r="AD37" s="13">
        <f>ROUND($AB$37+$AC$37+IF($G$36&lt;=0,StoreCardMinPayment,0)+IF($L$36&lt;=0,CreditUnionVisaMinPayment,0)+IF($Q$36&lt;=0,PersonalLoanMinPayment,0)+IF($V$36&lt;=0,UsedAutoLoanMinPayment,0)+IF($AA$36&lt;=0,MedicalPlanMinPayment,0),2)</f>
        <v>688.0</v>
      </c>
      <c r="AE37" s="18" t="str">
        <f>IF($F$37&gt;0,Inputs!A6,IF($K$37&gt;0,Inputs!A7,IF($P$37&gt;0,Inputs!A8,IF($U$37&gt;0,Inputs!A9,IF($Z$37&gt;0,Inputs!A5,"")))))</f>
        <v>Used Auto Loan</v>
      </c>
      <c r="AF37" s="13">
        <f>ROUND(SUM($D$37,$I$37,$N$37,$S$37,$X$37),2)</f>
        <v>13.74</v>
      </c>
      <c r="AG37" s="13">
        <f>ROUND(SUM($G$37,$L$37,$Q$37,$V$37,$AA$37),2)</f>
        <v>1756.93</v>
      </c>
    </row>
    <row r="38" spans="1:33">
      <c r="A38" s="17">
        <f>ROW()-3</f>
        <v>34</v>
      </c>
      <c r="B38" s="18" t="str">
        <f>TEXT(EDATE(StartDate,A38-1),"mmm yyyy")</f>
        <v>Jan 2029</v>
      </c>
      <c r="C38" s="13">
        <f>$G$37</f>
        <v>0.0</v>
      </c>
      <c r="D38" s="13">
        <f>ROUND(IF($C$38&lt;=0,0,$C$38*StoreCardAPR/12),2)</f>
        <v>0.0</v>
      </c>
      <c r="E38" s="13">
        <f>ROUND(IF($C$38&lt;=0,0,MIN(StoreCardMinPayment,$C$38+$D$38)),2)</f>
        <v>0.0</v>
      </c>
      <c r="F38" s="13">
        <f>ROUND(IF($C$38&lt;=0,0,MIN(MAX(0,$C$38+$D$38-$E$38),MAX(0,$AD$38))),2)</f>
        <v>0.0</v>
      </c>
      <c r="G38" s="13">
        <f>ROUND(MAX(0,$C$38+$D$38-$E$38-$F$38),2)</f>
        <v>0.0</v>
      </c>
      <c r="H38" s="13">
        <f>$L$37</f>
        <v>0.0</v>
      </c>
      <c r="I38" s="13">
        <f>ROUND(IF($H$38&lt;=0,0,$H$38*CreditUnionVisaAPR/12),2)</f>
        <v>0.0</v>
      </c>
      <c r="J38" s="13">
        <f>ROUND(IF($H$38&lt;=0,0,MIN(CreditUnionVisaMinPayment,$H$38+$I$38)),2)</f>
        <v>0.0</v>
      </c>
      <c r="K38" s="13">
        <f>ROUND(IF($H$38&lt;=0,0,MIN(MAX(0,$H$38+$I$38-$J$38),MAX(0,$AD$38-$F$38))),2)</f>
        <v>0.0</v>
      </c>
      <c r="L38" s="13">
        <f>ROUND(MAX(0,$H$38+$I$38-$J$38-$K$38),2)</f>
        <v>0.0</v>
      </c>
      <c r="M38" s="13">
        <f>$Q$37</f>
        <v>0.0</v>
      </c>
      <c r="N38" s="13">
        <f>ROUND(IF($M$38&lt;=0,0,$M$38*PersonalLoanAPR/12),2)</f>
        <v>0.0</v>
      </c>
      <c r="O38" s="13">
        <f>ROUND(IF($M$38&lt;=0,0,MIN(PersonalLoanMinPayment,$M$38+$N$38)),2)</f>
        <v>0.0</v>
      </c>
      <c r="P38" s="13">
        <f>ROUND(IF($M$38&lt;=0,0,MIN(MAX(0,$M$38+$N$38-$O$38),MAX(0,$AD$38-$F$38-$K$38))),2)</f>
        <v>0.0</v>
      </c>
      <c r="Q38" s="13">
        <f>ROUND(MAX(0,$M$38+$N$38-$O$38-$P$38),2)</f>
        <v>0.0</v>
      </c>
      <c r="R38" s="13">
        <f>$V$37</f>
        <v>1756.93</v>
      </c>
      <c r="S38" s="13">
        <f>ROUND(IF($R$38&lt;=0,0,$R$38*UsedAutoLoanAPR/12),2)</f>
        <v>9.14</v>
      </c>
      <c r="T38" s="13">
        <f>ROUND(IF($R$38&lt;=0,0,MIN(UsedAutoLoanMinPayment,$R$38+$S$38)),2)</f>
        <v>212.0</v>
      </c>
      <c r="U38" s="13">
        <f>ROUND(IF($R$38&lt;=0,0,MIN(MAX(0,$R$38+$S$38-$T$38),MAX(0,$AD$38-$F$38-$K$38-$P$38))),2)</f>
        <v>688.0</v>
      </c>
      <c r="V38" s="13">
        <f>ROUND(MAX(0,$R$38+$S$38-$T$38-$U$38),2)</f>
        <v>866.07</v>
      </c>
      <c r="W38" s="13">
        <f>$AA$37</f>
        <v>0.0</v>
      </c>
      <c r="X38" s="13">
        <f>ROUND(IF($W$38&lt;=0,0,$W$38*MedicalPlanAPR/12),2)</f>
        <v>0.0</v>
      </c>
      <c r="Y38" s="13">
        <f>ROUND(IF($W$38&lt;=0,0,MIN(MedicalPlanMinPayment,$W$38+$X$38)),2)</f>
        <v>0.0</v>
      </c>
      <c r="Z38" s="13">
        <f>ROUND(IF($W$38&lt;=0,0,MIN(MAX(0,$W$38+$X$38-$Y$38),MAX(0,$AD$38-$F$38-$K$38-$P$38-$U$38))),2)</f>
        <v>0.0</v>
      </c>
      <c r="AA38" s="13">
        <f>ROUND(MAX(0,$W$38+$X$38-$Y$38-$Z$38),2)</f>
        <v>0.0</v>
      </c>
      <c r="AB38" s="13">
        <f>ROUND(NoWindfallBaseExtra+NoWindfallPermanentLift+IF(A38&lt;=NoWindfallTempMonths,NoWindfallTempBoost,0),2)</f>
        <v>190.0</v>
      </c>
      <c r="AC38" s="13">
        <f>IF(A38=NoWindfallWindfallMonth,NoWindfallWindfall,0)</f>
        <v>0.0</v>
      </c>
      <c r="AD38" s="13">
        <f>ROUND($AB$38+$AC$38+IF($G$37&lt;=0,StoreCardMinPayment,0)+IF($L$37&lt;=0,CreditUnionVisaMinPayment,0)+IF($Q$37&lt;=0,PersonalLoanMinPayment,0)+IF($V$37&lt;=0,UsedAutoLoanMinPayment,0)+IF($AA$37&lt;=0,MedicalPlanMinPayment,0),2)</f>
        <v>688.0</v>
      </c>
      <c r="AE38" s="18" t="str">
        <f>IF($F$38&gt;0,Inputs!A6,IF($K$38&gt;0,Inputs!A7,IF($P$38&gt;0,Inputs!A8,IF($U$38&gt;0,Inputs!A9,IF($Z$38&gt;0,Inputs!A5,"")))))</f>
        <v>Used Auto Loan</v>
      </c>
      <c r="AF38" s="13">
        <f>ROUND(SUM($D$38,$I$38,$N$38,$S$38,$X$38),2)</f>
        <v>9.14</v>
      </c>
      <c r="AG38" s="13">
        <f>ROUND(SUM($G$38,$L$38,$Q$38,$V$38,$AA$38),2)</f>
        <v>866.07</v>
      </c>
    </row>
    <row r="39" spans="1:33">
      <c r="A39" s="17">
        <f>ROW()-3</f>
        <v>35</v>
      </c>
      <c r="B39" s="18" t="str">
        <f>TEXT(EDATE(StartDate,A39-1),"mmm yyyy")</f>
        <v>Feb 2029</v>
      </c>
      <c r="C39" s="13">
        <f>$G$38</f>
        <v>0.0</v>
      </c>
      <c r="D39" s="13">
        <f>ROUND(IF($C$39&lt;=0,0,$C$39*StoreCardAPR/12),2)</f>
        <v>0.0</v>
      </c>
      <c r="E39" s="13">
        <f>ROUND(IF($C$39&lt;=0,0,MIN(StoreCardMinPayment,$C$39+$D$39)),2)</f>
        <v>0.0</v>
      </c>
      <c r="F39" s="13">
        <f>ROUND(IF($C$39&lt;=0,0,MIN(MAX(0,$C$39+$D$39-$E$39),MAX(0,$AD$39))),2)</f>
        <v>0.0</v>
      </c>
      <c r="G39" s="13">
        <f>ROUND(MAX(0,$C$39+$D$39-$E$39-$F$39),2)</f>
        <v>0.0</v>
      </c>
      <c r="H39" s="13">
        <f>$L$38</f>
        <v>0.0</v>
      </c>
      <c r="I39" s="13">
        <f>ROUND(IF($H$39&lt;=0,0,$H$39*CreditUnionVisaAPR/12),2)</f>
        <v>0.0</v>
      </c>
      <c r="J39" s="13">
        <f>ROUND(IF($H$39&lt;=0,0,MIN(CreditUnionVisaMinPayment,$H$39+$I$39)),2)</f>
        <v>0.0</v>
      </c>
      <c r="K39" s="13">
        <f>ROUND(IF($H$39&lt;=0,0,MIN(MAX(0,$H$39+$I$39-$J$39),MAX(0,$AD$39-$F$39))),2)</f>
        <v>0.0</v>
      </c>
      <c r="L39" s="13">
        <f>ROUND(MAX(0,$H$39+$I$39-$J$39-$K$39),2)</f>
        <v>0.0</v>
      </c>
      <c r="M39" s="13">
        <f>$Q$38</f>
        <v>0.0</v>
      </c>
      <c r="N39" s="13">
        <f>ROUND(IF($M$39&lt;=0,0,$M$39*PersonalLoanAPR/12),2)</f>
        <v>0.0</v>
      </c>
      <c r="O39" s="13">
        <f>ROUND(IF($M$39&lt;=0,0,MIN(PersonalLoanMinPayment,$M$39+$N$39)),2)</f>
        <v>0.0</v>
      </c>
      <c r="P39" s="13">
        <f>ROUND(IF($M$39&lt;=0,0,MIN(MAX(0,$M$39+$N$39-$O$39),MAX(0,$AD$39-$F$39-$K$39))),2)</f>
        <v>0.0</v>
      </c>
      <c r="Q39" s="13">
        <f>ROUND(MAX(0,$M$39+$N$39-$O$39-$P$39),2)</f>
        <v>0.0</v>
      </c>
      <c r="R39" s="13">
        <f>$V$38</f>
        <v>866.07</v>
      </c>
      <c r="S39" s="13">
        <f>ROUND(IF($R$39&lt;=0,0,$R$39*UsedAutoLoanAPR/12),2)</f>
        <v>4.5</v>
      </c>
      <c r="T39" s="13">
        <f>ROUND(IF($R$39&lt;=0,0,MIN(UsedAutoLoanMinPayment,$R$39+$S$39)),2)</f>
        <v>212.0</v>
      </c>
      <c r="U39" s="13">
        <f>ROUND(IF($R$39&lt;=0,0,MIN(MAX(0,$R$39+$S$39-$T$39),MAX(0,$AD$39-$F$39-$K$39-$P$39))),2)</f>
        <v>658.57</v>
      </c>
      <c r="V39" s="13">
        <f>ROUND(MAX(0,$R$39+$S$39-$T$39-$U$39),2)</f>
        <v>0.0</v>
      </c>
      <c r="W39" s="13">
        <f>$AA$38</f>
        <v>0.0</v>
      </c>
      <c r="X39" s="13">
        <f>ROUND(IF($W$39&lt;=0,0,$W$39*MedicalPlanAPR/12),2)</f>
        <v>0.0</v>
      </c>
      <c r="Y39" s="13">
        <f>ROUND(IF($W$39&lt;=0,0,MIN(MedicalPlanMinPayment,$W$39+$X$39)),2)</f>
        <v>0.0</v>
      </c>
      <c r="Z39" s="13">
        <f>ROUND(IF($W$39&lt;=0,0,MIN(MAX(0,$W$39+$X$39-$Y$39),MAX(0,$AD$39-$F$39-$K$39-$P$39-$U$39))),2)</f>
        <v>0.0</v>
      </c>
      <c r="AA39" s="13">
        <f>ROUND(MAX(0,$W$39+$X$39-$Y$39-$Z$39),2)</f>
        <v>0.0</v>
      </c>
      <c r="AB39" s="13">
        <f>ROUND(NoWindfallBaseExtra+NoWindfallPermanentLift+IF(A39&lt;=NoWindfallTempMonths,NoWindfallTempBoost,0),2)</f>
        <v>190.0</v>
      </c>
      <c r="AC39" s="13">
        <f>IF(A39=NoWindfallWindfallMonth,NoWindfallWindfall,0)</f>
        <v>0.0</v>
      </c>
      <c r="AD39" s="13">
        <f>ROUND($AB$39+$AC$39+IF($G$38&lt;=0,StoreCardMinPayment,0)+IF($L$38&lt;=0,CreditUnionVisaMinPayment,0)+IF($Q$38&lt;=0,PersonalLoanMinPayment,0)+IF($V$38&lt;=0,UsedAutoLoanMinPayment,0)+IF($AA$38&lt;=0,MedicalPlanMinPayment,0),2)</f>
        <v>688.0</v>
      </c>
      <c r="AE39" s="18" t="str">
        <f>IF($F$39&gt;0,Inputs!A6,IF($K$39&gt;0,Inputs!A7,IF($P$39&gt;0,Inputs!A8,IF($U$39&gt;0,Inputs!A9,IF($Z$39&gt;0,Inputs!A5,"")))))</f>
        <v>Used Auto Loan</v>
      </c>
      <c r="AF39" s="13">
        <f>ROUND(SUM($D$39,$I$39,$N$39,$S$39,$X$39),2)</f>
        <v>4.5</v>
      </c>
      <c r="AG39" s="13">
        <f>ROUND(SUM($G$39,$L$39,$Q$39,$V$39,$AA$39),2)</f>
        <v>0.0</v>
      </c>
    </row>
  </sheetData>
  <mergeCells count="8">
    <mergeCell ref="A1:AG1"/>
    <mergeCell ref="C3:G3"/>
    <mergeCell ref="H3:L3"/>
    <mergeCell ref="M3:Q3"/>
    <mergeCell ref="R3:V3"/>
    <mergeCell ref="W3:AA3"/>
    <mergeCell ref="A2:AG2"/>
    <mergeCell ref="A3:B3"/>
  </mergeCells>
  <pageMargins left="0.7" right="0.7" top="0.75" bottom="0.75" header="0.3" footer="0.3"/>
  <headerFooter>
    <oddFooter>&amp;LFast Payoff Windfall Timing&amp;CDebtPayoffSpreadsheet.org&amp;Rv1.0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G36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9.7109375" customWidth="1"/>
    <col min="2" max="27" width="12.7109375" customWidth="1"/>
    <col min="28" max="33" width="14.7109375" customWidth="1"/>
  </cols>
  <sheetData>
    <row r="1" spans="1:33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>
      <c r="A2" s="1" t="s">
        <v>58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>
      <c r="A3" s="12" t="s">
        <v>67</v>
      </c>
      <c r="B3" s="12"/>
      <c r="C3" s="12" t="s">
        <v>33</v>
      </c>
      <c r="D3" s="12"/>
      <c r="E3" s="12"/>
      <c r="F3" s="12"/>
      <c r="G3" s="12"/>
      <c r="H3" s="12" t="s">
        <v>36</v>
      </c>
      <c r="I3" s="12"/>
      <c r="J3" s="12"/>
      <c r="K3" s="12"/>
      <c r="L3" s="12"/>
      <c r="M3" s="12" t="s">
        <v>38</v>
      </c>
      <c r="N3" s="12"/>
      <c r="O3" s="12"/>
      <c r="P3" s="12"/>
      <c r="Q3" s="12"/>
      <c r="R3" s="12" t="s">
        <v>41</v>
      </c>
      <c r="S3" s="12"/>
      <c r="T3" s="12"/>
      <c r="U3" s="12"/>
      <c r="V3" s="12"/>
      <c r="W3" s="12" t="s">
        <v>30</v>
      </c>
      <c r="X3" s="12"/>
      <c r="Y3" s="12"/>
      <c r="Z3" s="12"/>
      <c r="AA3" s="12"/>
    </row>
    <row r="4" spans="1:33">
      <c r="A4" s="7" t="s">
        <v>68</v>
      </c>
      <c r="B4" s="7" t="s">
        <v>69</v>
      </c>
      <c r="C4" s="7" t="s">
        <v>62</v>
      </c>
      <c r="D4" s="7" t="s">
        <v>63</v>
      </c>
      <c r="E4" s="7" t="s">
        <v>64</v>
      </c>
      <c r="F4" s="7" t="s">
        <v>65</v>
      </c>
      <c r="G4" s="7" t="s">
        <v>66</v>
      </c>
      <c r="H4" s="7" t="s">
        <v>62</v>
      </c>
      <c r="I4" s="7" t="s">
        <v>63</v>
      </c>
      <c r="J4" s="7" t="s">
        <v>64</v>
      </c>
      <c r="K4" s="7" t="s">
        <v>65</v>
      </c>
      <c r="L4" s="7" t="s">
        <v>66</v>
      </c>
      <c r="M4" s="7" t="s">
        <v>62</v>
      </c>
      <c r="N4" s="7" t="s">
        <v>63</v>
      </c>
      <c r="O4" s="7" t="s">
        <v>64</v>
      </c>
      <c r="P4" s="7" t="s">
        <v>65</v>
      </c>
      <c r="Q4" s="7" t="s">
        <v>66</v>
      </c>
      <c r="R4" s="7" t="s">
        <v>62</v>
      </c>
      <c r="S4" s="7" t="s">
        <v>63</v>
      </c>
      <c r="T4" s="7" t="s">
        <v>64</v>
      </c>
      <c r="U4" s="7" t="s">
        <v>65</v>
      </c>
      <c r="V4" s="7" t="s">
        <v>66</v>
      </c>
      <c r="W4" s="7" t="s">
        <v>62</v>
      </c>
      <c r="X4" s="7" t="s">
        <v>63</v>
      </c>
      <c r="Y4" s="7" t="s">
        <v>64</v>
      </c>
      <c r="Z4" s="7" t="s">
        <v>65</v>
      </c>
      <c r="AA4" s="7" t="s">
        <v>66</v>
      </c>
      <c r="AB4" s="7" t="s">
        <v>70</v>
      </c>
      <c r="AC4" s="7" t="s">
        <v>53</v>
      </c>
      <c r="AD4" s="7" t="s">
        <v>71</v>
      </c>
      <c r="AE4" s="7" t="s">
        <v>72</v>
      </c>
      <c r="AF4" s="7" t="s">
        <v>73</v>
      </c>
      <c r="AG4" s="7" t="s">
        <v>74</v>
      </c>
    </row>
    <row r="5" spans="1:33">
      <c r="A5" s="17">
        <f>ROW()-3</f>
        <v>1</v>
      </c>
      <c r="B5" s="18" t="str">
        <f>TEXT(EDATE(StartDate,A5-1),"mmm yyyy")</f>
        <v>Apr 2026</v>
      </c>
      <c r="C5" s="13">
        <f>StoreCardBalance</f>
        <v>2900.0</v>
      </c>
      <c r="D5" s="13">
        <f>ROUND(IF($C$5&lt;=0,0,$C$5*StoreCardAPR/12),2)</f>
        <v>70.06</v>
      </c>
      <c r="E5" s="13">
        <f>ROUND(IF($C$5&lt;=0,0,MIN(StoreCardMinPayment,$C$5+$D$5)),2)</f>
        <v>87.0</v>
      </c>
      <c r="F5" s="13">
        <f>ROUND(IF($C$5&lt;=0,0,MIN(MAX(0,$C$5+$D$5-$E$5),MAX(0,$AD$5))),2)</f>
        <v>190.0</v>
      </c>
      <c r="G5" s="13">
        <f>ROUND(MAX(0,$C$5+$D$5-$E$5-$F$5),2)</f>
        <v>2693.06</v>
      </c>
      <c r="H5" s="13">
        <f>CreditUnionVisaBalance</f>
        <v>6400.0</v>
      </c>
      <c r="I5" s="13">
        <f>ROUND(IF($H$5&lt;=0,0,$H$5*CreditUnionVisaAPR/12),2)</f>
        <v>133.28</v>
      </c>
      <c r="J5" s="13">
        <f>ROUND(IF($H$5&lt;=0,0,MIN(CreditUnionVisaMinPayment,$H$5+$I$5)),2)</f>
        <v>192.0</v>
      </c>
      <c r="K5" s="13">
        <f>ROUND(IF($H$5&lt;=0,0,MIN(MAX(0,$H$5+$I$5-$J$5),MAX(0,$AD$5-$F$5))),2)</f>
        <v>0.0</v>
      </c>
      <c r="L5" s="13">
        <f>ROUND(MAX(0,$H$5+$I$5-$J$5-$K$5),2)</f>
        <v>6341.28</v>
      </c>
      <c r="M5" s="13">
        <f>PersonalLoanBalance</f>
        <v>5800.0</v>
      </c>
      <c r="N5" s="13">
        <f>ROUND(IF($M$5&lt;=0,0,$M$5*PersonalLoanAPR/12),2)</f>
        <v>60.37</v>
      </c>
      <c r="O5" s="13">
        <f>ROUND(IF($M$5&lt;=0,0,MIN(PersonalLoanMinPayment,$M$5+$N$5)),2)</f>
        <v>174.0</v>
      </c>
      <c r="P5" s="13">
        <f>ROUND(IF($M$5&lt;=0,0,MIN(MAX(0,$M$5+$N$5-$O$5),MAX(0,$AD$5-$F$5-$K$5))),2)</f>
        <v>0.0</v>
      </c>
      <c r="Q5" s="13">
        <f>ROUND(MAX(0,$M$5+$N$5-$O$5-$P$5),2)</f>
        <v>5686.37</v>
      </c>
      <c r="R5" s="13">
        <f>UsedAutoLoanBalance</f>
        <v>9700.0</v>
      </c>
      <c r="S5" s="13">
        <f>ROUND(IF($R$5&lt;=0,0,$R$5*UsedAutoLoanAPR/12),2)</f>
        <v>50.44</v>
      </c>
      <c r="T5" s="13">
        <f>ROUND(IF($R$5&lt;=0,0,MIN(UsedAutoLoanMinPayment,$R$5+$S$5)),2)</f>
        <v>212.0</v>
      </c>
      <c r="U5" s="13">
        <f>ROUND(IF($R$5&lt;=0,0,MIN(MAX(0,$R$5+$S$5-$T$5),MAX(0,$AD$5-$F$5-$K$5-$P$5))),2)</f>
        <v>0.0</v>
      </c>
      <c r="V5" s="13">
        <f>ROUND(MAX(0,$R$5+$S$5-$T$5-$U$5),2)</f>
        <v>9538.44</v>
      </c>
      <c r="W5" s="13">
        <f>MedicalPlanBalance</f>
        <v>1100.0</v>
      </c>
      <c r="X5" s="13">
        <f>ROUND(IF($W$5&lt;=0,0,$W$5*MedicalPlanAPR/12),2)</f>
        <v>0.0</v>
      </c>
      <c r="Y5" s="13">
        <f>ROUND(IF($W$5&lt;=0,0,MIN(MedicalPlanMinPayment,$W$5+$X$5)),2)</f>
        <v>45.0</v>
      </c>
      <c r="Z5" s="13">
        <f>ROUND(IF($W$5&lt;=0,0,MIN(MAX(0,$W$5+$X$5-$Y$5),MAX(0,$AD$5-$F$5-$K$5-$P$5-$U$5))),2)</f>
        <v>0.0</v>
      </c>
      <c r="AA5" s="13">
        <f>ROUND(MAX(0,$W$5+$X$5-$Y$5-$Z$5),2)</f>
        <v>1055.0</v>
      </c>
      <c r="AB5" s="13">
        <f>ROUND(EarlyWindfallBaseExtra+EarlyWindfallPermanentLift+IF(A5&lt;=EarlyWindfallTempMonths,EarlyWindfallTempBoost,0),2)</f>
        <v>190.0</v>
      </c>
      <c r="AC5" s="13">
        <f>IF(A5=EarlyWindfallWindfallMonth,EarlyWindfallWindfall,0)</f>
        <v>0.0</v>
      </c>
      <c r="AD5" s="13">
        <f>ROUND($AB$5+$AC$5+0,2)</f>
        <v>190.0</v>
      </c>
      <c r="AE5" s="18" t="str">
        <f>IF($F$5&gt;0,Inputs!A6,IF($K$5&gt;0,Inputs!A7,IF($P$5&gt;0,Inputs!A8,IF($U$5&gt;0,Inputs!A9,IF($Z$5&gt;0,Inputs!A5,"")))))</f>
        <v>Store Card</v>
      </c>
      <c r="AF5" s="13">
        <f>ROUND(SUM($D$5,$I$5,$N$5,$S$5,$X$5),2)</f>
        <v>314.15</v>
      </c>
      <c r="AG5" s="13">
        <f>ROUND(SUM($G$5,$L$5,$Q$5,$V$5,$AA$5),2)</f>
        <v>25314.15</v>
      </c>
    </row>
    <row r="6" spans="1:33">
      <c r="A6" s="17">
        <f>ROW()-3</f>
        <v>2</v>
      </c>
      <c r="B6" s="18" t="str">
        <f>TEXT(EDATE(StartDate,A6-1),"mmm yyyy")</f>
        <v>May 2026</v>
      </c>
      <c r="C6" s="13">
        <f>$G$5</f>
        <v>2693.06</v>
      </c>
      <c r="D6" s="13">
        <f>ROUND(IF($C$6&lt;=0,0,$C$6*StoreCardAPR/12),2)</f>
        <v>65.06</v>
      </c>
      <c r="E6" s="13">
        <f>ROUND(IF($C$6&lt;=0,0,MIN(StoreCardMinPayment,$C$6+$D$6)),2)</f>
        <v>87.0</v>
      </c>
      <c r="F6" s="13">
        <f>ROUND(IF($C$6&lt;=0,0,MIN(MAX(0,$C$6+$D$6-$E$6),MAX(0,$AD$6))),2)</f>
        <v>190.0</v>
      </c>
      <c r="G6" s="13">
        <f>ROUND(MAX(0,$C$6+$D$6-$E$6-$F$6),2)</f>
        <v>2481.12</v>
      </c>
      <c r="H6" s="13">
        <f>$L$5</f>
        <v>6341.28</v>
      </c>
      <c r="I6" s="13">
        <f>ROUND(IF($H$6&lt;=0,0,$H$6*CreditUnionVisaAPR/12),2)</f>
        <v>132.06</v>
      </c>
      <c r="J6" s="13">
        <f>ROUND(IF($H$6&lt;=0,0,MIN(CreditUnionVisaMinPayment,$H$6+$I$6)),2)</f>
        <v>192.0</v>
      </c>
      <c r="K6" s="13">
        <f>ROUND(IF($H$6&lt;=0,0,MIN(MAX(0,$H$6+$I$6-$J$6),MAX(0,$AD$6-$F$6))),2)</f>
        <v>0.0</v>
      </c>
      <c r="L6" s="13">
        <f>ROUND(MAX(0,$H$6+$I$6-$J$6-$K$6),2)</f>
        <v>6281.34</v>
      </c>
      <c r="M6" s="13">
        <f>$Q$5</f>
        <v>5686.37</v>
      </c>
      <c r="N6" s="13">
        <f>ROUND(IF($M$6&lt;=0,0,$M$6*PersonalLoanAPR/12),2)</f>
        <v>59.19</v>
      </c>
      <c r="O6" s="13">
        <f>ROUND(IF($M$6&lt;=0,0,MIN(PersonalLoanMinPayment,$M$6+$N$6)),2)</f>
        <v>174.0</v>
      </c>
      <c r="P6" s="13">
        <f>ROUND(IF($M$6&lt;=0,0,MIN(MAX(0,$M$6+$N$6-$O$6),MAX(0,$AD$6-$F$6-$K$6))),2)</f>
        <v>0.0</v>
      </c>
      <c r="Q6" s="13">
        <f>ROUND(MAX(0,$M$6+$N$6-$O$6-$P$6),2)</f>
        <v>5571.56</v>
      </c>
      <c r="R6" s="13">
        <f>$V$5</f>
        <v>9538.44</v>
      </c>
      <c r="S6" s="13">
        <f>ROUND(IF($R$6&lt;=0,0,$R$6*UsedAutoLoanAPR/12),2)</f>
        <v>49.6</v>
      </c>
      <c r="T6" s="13">
        <f>ROUND(IF($R$6&lt;=0,0,MIN(UsedAutoLoanMinPayment,$R$6+$S$6)),2)</f>
        <v>212.0</v>
      </c>
      <c r="U6" s="13">
        <f>ROUND(IF($R$6&lt;=0,0,MIN(MAX(0,$R$6+$S$6-$T$6),MAX(0,$AD$6-$F$6-$K$6-$P$6))),2)</f>
        <v>0.0</v>
      </c>
      <c r="V6" s="13">
        <f>ROUND(MAX(0,$R$6+$S$6-$T$6-$U$6),2)</f>
        <v>9376.04</v>
      </c>
      <c r="W6" s="13">
        <f>$AA$5</f>
        <v>1055.0</v>
      </c>
      <c r="X6" s="13">
        <f>ROUND(IF($W$6&lt;=0,0,$W$6*MedicalPlanAPR/12),2)</f>
        <v>0.0</v>
      </c>
      <c r="Y6" s="13">
        <f>ROUND(IF($W$6&lt;=0,0,MIN(MedicalPlanMinPayment,$W$6+$X$6)),2)</f>
        <v>45.0</v>
      </c>
      <c r="Z6" s="13">
        <f>ROUND(IF($W$6&lt;=0,0,MIN(MAX(0,$W$6+$X$6-$Y$6),MAX(0,$AD$6-$F$6-$K$6-$P$6-$U$6))),2)</f>
        <v>0.0</v>
      </c>
      <c r="AA6" s="13">
        <f>ROUND(MAX(0,$W$6+$X$6-$Y$6-$Z$6),2)</f>
        <v>1010.0</v>
      </c>
      <c r="AB6" s="13">
        <f>ROUND(EarlyWindfallBaseExtra+EarlyWindfallPermanentLift+IF(A6&lt;=EarlyWindfallTempMonths,EarlyWindfallTempBoost,0),2)</f>
        <v>190.0</v>
      </c>
      <c r="AC6" s="13">
        <f>IF(A6=EarlyWindfallWindfallMonth,EarlyWindfallWindfall,0)</f>
        <v>0.0</v>
      </c>
      <c r="AD6" s="13">
        <f>ROUND($AB$6+$AC$6+IF($G$5&lt;=0,StoreCardMinPayment,0)+IF($L$5&lt;=0,CreditUnionVisaMinPayment,0)+IF($Q$5&lt;=0,PersonalLoanMinPayment,0)+IF($V$5&lt;=0,UsedAutoLoanMinPayment,0)+IF($AA$5&lt;=0,MedicalPlanMinPayment,0),2)</f>
        <v>190.0</v>
      </c>
      <c r="AE6" s="18" t="str">
        <f>IF($F$6&gt;0,Inputs!A6,IF($K$6&gt;0,Inputs!A7,IF($P$6&gt;0,Inputs!A8,IF($U$6&gt;0,Inputs!A9,IF($Z$6&gt;0,Inputs!A5,"")))))</f>
        <v>Store Card</v>
      </c>
      <c r="AF6" s="13">
        <f>ROUND(SUM($D$6,$I$6,$N$6,$S$6,$X$6),2)</f>
        <v>305.91</v>
      </c>
      <c r="AG6" s="13">
        <f>ROUND(SUM($G$6,$L$6,$Q$6,$V$6,$AA$6),2)</f>
        <v>24720.06</v>
      </c>
    </row>
    <row r="7" spans="1:33">
      <c r="A7" s="17">
        <f>ROW()-3</f>
        <v>3</v>
      </c>
      <c r="B7" s="18" t="str">
        <f>TEXT(EDATE(StartDate,A7-1),"mmm yyyy")</f>
        <v>Jun 2026</v>
      </c>
      <c r="C7" s="13">
        <f>$G$6</f>
        <v>2481.12</v>
      </c>
      <c r="D7" s="13">
        <f>ROUND(IF($C$7&lt;=0,0,$C$7*StoreCardAPR/12),2)</f>
        <v>59.94</v>
      </c>
      <c r="E7" s="13">
        <f>ROUND(IF($C$7&lt;=0,0,MIN(StoreCardMinPayment,$C$7+$D$7)),2)</f>
        <v>87.0</v>
      </c>
      <c r="F7" s="13">
        <f>ROUND(IF($C$7&lt;=0,0,MIN(MAX(0,$C$7+$D$7-$E$7),MAX(0,$AD$7))),2)</f>
        <v>190.0</v>
      </c>
      <c r="G7" s="13">
        <f>ROUND(MAX(0,$C$7+$D$7-$E$7-$F$7),2)</f>
        <v>2264.06</v>
      </c>
      <c r="H7" s="13">
        <f>$L$6</f>
        <v>6281.34</v>
      </c>
      <c r="I7" s="13">
        <f>ROUND(IF($H$7&lt;=0,0,$H$7*CreditUnionVisaAPR/12),2)</f>
        <v>130.81</v>
      </c>
      <c r="J7" s="13">
        <f>ROUND(IF($H$7&lt;=0,0,MIN(CreditUnionVisaMinPayment,$H$7+$I$7)),2)</f>
        <v>192.0</v>
      </c>
      <c r="K7" s="13">
        <f>ROUND(IF($H$7&lt;=0,0,MIN(MAX(0,$H$7+$I$7-$J$7),MAX(0,$AD$7-$F$7))),2)</f>
        <v>0.0</v>
      </c>
      <c r="L7" s="13">
        <f>ROUND(MAX(0,$H$7+$I$7-$J$7-$K$7),2)</f>
        <v>6220.15</v>
      </c>
      <c r="M7" s="13">
        <f>$Q$6</f>
        <v>5571.56</v>
      </c>
      <c r="N7" s="13">
        <f>ROUND(IF($M$7&lt;=0,0,$M$7*PersonalLoanAPR/12),2)</f>
        <v>57.99</v>
      </c>
      <c r="O7" s="13">
        <f>ROUND(IF($M$7&lt;=0,0,MIN(PersonalLoanMinPayment,$M$7+$N$7)),2)</f>
        <v>174.0</v>
      </c>
      <c r="P7" s="13">
        <f>ROUND(IF($M$7&lt;=0,0,MIN(MAX(0,$M$7+$N$7-$O$7),MAX(0,$AD$7-$F$7-$K$7))),2)</f>
        <v>0.0</v>
      </c>
      <c r="Q7" s="13">
        <f>ROUND(MAX(0,$M$7+$N$7-$O$7-$P$7),2)</f>
        <v>5455.55</v>
      </c>
      <c r="R7" s="13">
        <f>$V$6</f>
        <v>9376.04</v>
      </c>
      <c r="S7" s="13">
        <f>ROUND(IF($R$7&lt;=0,0,$R$7*UsedAutoLoanAPR/12),2)</f>
        <v>48.76</v>
      </c>
      <c r="T7" s="13">
        <f>ROUND(IF($R$7&lt;=0,0,MIN(UsedAutoLoanMinPayment,$R$7+$S$7)),2)</f>
        <v>212.0</v>
      </c>
      <c r="U7" s="13">
        <f>ROUND(IF($R$7&lt;=0,0,MIN(MAX(0,$R$7+$S$7-$T$7),MAX(0,$AD$7-$F$7-$K$7-$P$7))),2)</f>
        <v>0.0</v>
      </c>
      <c r="V7" s="13">
        <f>ROUND(MAX(0,$R$7+$S$7-$T$7-$U$7),2)</f>
        <v>9212.8</v>
      </c>
      <c r="W7" s="13">
        <f>$AA$6</f>
        <v>1010.0</v>
      </c>
      <c r="X7" s="13">
        <f>ROUND(IF($W$7&lt;=0,0,$W$7*MedicalPlanAPR/12),2)</f>
        <v>0.0</v>
      </c>
      <c r="Y7" s="13">
        <f>ROUND(IF($W$7&lt;=0,0,MIN(MedicalPlanMinPayment,$W$7+$X$7)),2)</f>
        <v>45.0</v>
      </c>
      <c r="Z7" s="13">
        <f>ROUND(IF($W$7&lt;=0,0,MIN(MAX(0,$W$7+$X$7-$Y$7),MAX(0,$AD$7-$F$7-$K$7-$P$7-$U$7))),2)</f>
        <v>0.0</v>
      </c>
      <c r="AA7" s="13">
        <f>ROUND(MAX(0,$W$7+$X$7-$Y$7-$Z$7),2)</f>
        <v>965.0</v>
      </c>
      <c r="AB7" s="13">
        <f>ROUND(EarlyWindfallBaseExtra+EarlyWindfallPermanentLift+IF(A7&lt;=EarlyWindfallTempMonths,EarlyWindfallTempBoost,0),2)</f>
        <v>190.0</v>
      </c>
      <c r="AC7" s="13">
        <f>IF(A7=EarlyWindfallWindfallMonth,EarlyWindfallWindfall,0)</f>
        <v>0.0</v>
      </c>
      <c r="AD7" s="13">
        <f>ROUND($AB$7+$AC$7+IF($G$6&lt;=0,StoreCardMinPayment,0)+IF($L$6&lt;=0,CreditUnionVisaMinPayment,0)+IF($Q$6&lt;=0,PersonalLoanMinPayment,0)+IF($V$6&lt;=0,UsedAutoLoanMinPayment,0)+IF($AA$6&lt;=0,MedicalPlanMinPayment,0),2)</f>
        <v>190.0</v>
      </c>
      <c r="AE7" s="18" t="str">
        <f>IF($F$7&gt;0,Inputs!A6,IF($K$7&gt;0,Inputs!A7,IF($P$7&gt;0,Inputs!A8,IF($U$7&gt;0,Inputs!A9,IF($Z$7&gt;0,Inputs!A5,"")))))</f>
        <v>Store Card</v>
      </c>
      <c r="AF7" s="13">
        <f>ROUND(SUM($D$7,$I$7,$N$7,$S$7,$X$7),2)</f>
        <v>297.5</v>
      </c>
      <c r="AG7" s="13">
        <f>ROUND(SUM($G$7,$L$7,$Q$7,$V$7,$AA$7),2)</f>
        <v>24117.56</v>
      </c>
    </row>
    <row r="8" spans="1:33">
      <c r="A8" s="17">
        <f>ROW()-3</f>
        <v>4</v>
      </c>
      <c r="B8" s="18" t="str">
        <f>TEXT(EDATE(StartDate,A8-1),"mmm yyyy")</f>
        <v>Jul 2026</v>
      </c>
      <c r="C8" s="13">
        <f>$G$7</f>
        <v>2264.06</v>
      </c>
      <c r="D8" s="13">
        <f>ROUND(IF($C$8&lt;=0,0,$C$8*StoreCardAPR/12),2)</f>
        <v>54.7</v>
      </c>
      <c r="E8" s="13">
        <f>ROUND(IF($C$8&lt;=0,0,MIN(StoreCardMinPayment,$C$8+$D$8)),2)</f>
        <v>87.0</v>
      </c>
      <c r="F8" s="13">
        <f>ROUND(IF($C$8&lt;=0,0,MIN(MAX(0,$C$8+$D$8-$E$8),MAX(0,$AD$8))),2)</f>
        <v>1790.0</v>
      </c>
      <c r="G8" s="13">
        <f>ROUND(MAX(0,$C$8+$D$8-$E$8-$F$8),2)</f>
        <v>441.76</v>
      </c>
      <c r="H8" s="13">
        <f>$L$7</f>
        <v>6220.15</v>
      </c>
      <c r="I8" s="13">
        <f>ROUND(IF($H$8&lt;=0,0,$H$8*CreditUnionVisaAPR/12),2)</f>
        <v>129.53</v>
      </c>
      <c r="J8" s="13">
        <f>ROUND(IF($H$8&lt;=0,0,MIN(CreditUnionVisaMinPayment,$H$8+$I$8)),2)</f>
        <v>192.0</v>
      </c>
      <c r="K8" s="13">
        <f>ROUND(IF($H$8&lt;=0,0,MIN(MAX(0,$H$8+$I$8-$J$8),MAX(0,$AD$8-$F$8))),2)</f>
        <v>0.0</v>
      </c>
      <c r="L8" s="13">
        <f>ROUND(MAX(0,$H$8+$I$8-$J$8-$K$8),2)</f>
        <v>6157.68</v>
      </c>
      <c r="M8" s="13">
        <f>$Q$7</f>
        <v>5455.55</v>
      </c>
      <c r="N8" s="13">
        <f>ROUND(IF($M$8&lt;=0,0,$M$8*PersonalLoanAPR/12),2)</f>
        <v>56.78</v>
      </c>
      <c r="O8" s="13">
        <f>ROUND(IF($M$8&lt;=0,0,MIN(PersonalLoanMinPayment,$M$8+$N$8)),2)</f>
        <v>174.0</v>
      </c>
      <c r="P8" s="13">
        <f>ROUND(IF($M$8&lt;=0,0,MIN(MAX(0,$M$8+$N$8-$O$8),MAX(0,$AD$8-$F$8-$K$8))),2)</f>
        <v>0.0</v>
      </c>
      <c r="Q8" s="13">
        <f>ROUND(MAX(0,$M$8+$N$8-$O$8-$P$8),2)</f>
        <v>5338.33</v>
      </c>
      <c r="R8" s="13">
        <f>$V$7</f>
        <v>9212.8</v>
      </c>
      <c r="S8" s="13">
        <f>ROUND(IF($R$8&lt;=0,0,$R$8*UsedAutoLoanAPR/12),2)</f>
        <v>47.91</v>
      </c>
      <c r="T8" s="13">
        <f>ROUND(IF($R$8&lt;=0,0,MIN(UsedAutoLoanMinPayment,$R$8+$S$8)),2)</f>
        <v>212.0</v>
      </c>
      <c r="U8" s="13">
        <f>ROUND(IF($R$8&lt;=0,0,MIN(MAX(0,$R$8+$S$8-$T$8),MAX(0,$AD$8-$F$8-$K$8-$P$8))),2)</f>
        <v>0.0</v>
      </c>
      <c r="V8" s="13">
        <f>ROUND(MAX(0,$R$8+$S$8-$T$8-$U$8),2)</f>
        <v>9048.71</v>
      </c>
      <c r="W8" s="13">
        <f>$AA$7</f>
        <v>965.0</v>
      </c>
      <c r="X8" s="13">
        <f>ROUND(IF($W$8&lt;=0,0,$W$8*MedicalPlanAPR/12),2)</f>
        <v>0.0</v>
      </c>
      <c r="Y8" s="13">
        <f>ROUND(IF($W$8&lt;=0,0,MIN(MedicalPlanMinPayment,$W$8+$X$8)),2)</f>
        <v>45.0</v>
      </c>
      <c r="Z8" s="13">
        <f>ROUND(IF($W$8&lt;=0,0,MIN(MAX(0,$W$8+$X$8-$Y$8),MAX(0,$AD$8-$F$8-$K$8-$P$8-$U$8))),2)</f>
        <v>0.0</v>
      </c>
      <c r="AA8" s="13">
        <f>ROUND(MAX(0,$W$8+$X$8-$Y$8-$Z$8),2)</f>
        <v>920.0</v>
      </c>
      <c r="AB8" s="13">
        <f>ROUND(EarlyWindfallBaseExtra+EarlyWindfallPermanentLift+IF(A8&lt;=EarlyWindfallTempMonths,EarlyWindfallTempBoost,0),2)</f>
        <v>190.0</v>
      </c>
      <c r="AC8" s="13">
        <f>IF(A8=EarlyWindfallWindfallMonth,EarlyWindfallWindfall,0)</f>
        <v>1600.0</v>
      </c>
      <c r="AD8" s="13">
        <f>ROUND($AB$8+$AC$8+IF($G$7&lt;=0,StoreCardMinPayment,0)+IF($L$7&lt;=0,CreditUnionVisaMinPayment,0)+IF($Q$7&lt;=0,PersonalLoanMinPayment,0)+IF($V$7&lt;=0,UsedAutoLoanMinPayment,0)+IF($AA$7&lt;=0,MedicalPlanMinPayment,0),2)</f>
        <v>1790.0</v>
      </c>
      <c r="AE8" s="18" t="str">
        <f>IF($F$8&gt;0,Inputs!A6,IF($K$8&gt;0,Inputs!A7,IF($P$8&gt;0,Inputs!A8,IF($U$8&gt;0,Inputs!A9,IF($Z$8&gt;0,Inputs!A5,"")))))</f>
        <v>Store Card</v>
      </c>
      <c r="AF8" s="13">
        <f>ROUND(SUM($D$8,$I$8,$N$8,$S$8,$X$8),2)</f>
        <v>288.92</v>
      </c>
      <c r="AG8" s="13">
        <f>ROUND(SUM($G$8,$L$8,$Q$8,$V$8,$AA$8),2)</f>
        <v>21906.48</v>
      </c>
    </row>
    <row r="9" spans="1:33">
      <c r="A9" s="17">
        <f>ROW()-3</f>
        <v>5</v>
      </c>
      <c r="B9" s="18" t="str">
        <f>TEXT(EDATE(StartDate,A9-1),"mmm yyyy")</f>
        <v>Aug 2026</v>
      </c>
      <c r="C9" s="13">
        <f>$G$8</f>
        <v>441.76</v>
      </c>
      <c r="D9" s="13">
        <f>ROUND(IF($C$9&lt;=0,0,$C$9*StoreCardAPR/12),2)</f>
        <v>10.67</v>
      </c>
      <c r="E9" s="13">
        <f>ROUND(IF($C$9&lt;=0,0,MIN(StoreCardMinPayment,$C$9+$D$9)),2)</f>
        <v>87.0</v>
      </c>
      <c r="F9" s="13">
        <f>ROUND(IF($C$9&lt;=0,0,MIN(MAX(0,$C$9+$D$9-$E$9),MAX(0,$AD$9))),2)</f>
        <v>190.0</v>
      </c>
      <c r="G9" s="13">
        <f>ROUND(MAX(0,$C$9+$D$9-$E$9-$F$9),2)</f>
        <v>175.43</v>
      </c>
      <c r="H9" s="13">
        <f>$L$8</f>
        <v>6157.68</v>
      </c>
      <c r="I9" s="13">
        <f>ROUND(IF($H$9&lt;=0,0,$H$9*CreditUnionVisaAPR/12),2)</f>
        <v>128.23</v>
      </c>
      <c r="J9" s="13">
        <f>ROUND(IF($H$9&lt;=0,0,MIN(CreditUnionVisaMinPayment,$H$9+$I$9)),2)</f>
        <v>192.0</v>
      </c>
      <c r="K9" s="13">
        <f>ROUND(IF($H$9&lt;=0,0,MIN(MAX(0,$H$9+$I$9-$J$9),MAX(0,$AD$9-$F$9))),2)</f>
        <v>0.0</v>
      </c>
      <c r="L9" s="13">
        <f>ROUND(MAX(0,$H$9+$I$9-$J$9-$K$9),2)</f>
        <v>6093.91</v>
      </c>
      <c r="M9" s="13">
        <f>$Q$8</f>
        <v>5338.33</v>
      </c>
      <c r="N9" s="13">
        <f>ROUND(IF($M$9&lt;=0,0,$M$9*PersonalLoanAPR/12),2)</f>
        <v>55.56</v>
      </c>
      <c r="O9" s="13">
        <f>ROUND(IF($M$9&lt;=0,0,MIN(PersonalLoanMinPayment,$M$9+$N$9)),2)</f>
        <v>174.0</v>
      </c>
      <c r="P9" s="13">
        <f>ROUND(IF($M$9&lt;=0,0,MIN(MAX(0,$M$9+$N$9-$O$9),MAX(0,$AD$9-$F$9-$K$9))),2)</f>
        <v>0.0</v>
      </c>
      <c r="Q9" s="13">
        <f>ROUND(MAX(0,$M$9+$N$9-$O$9-$P$9),2)</f>
        <v>5219.89</v>
      </c>
      <c r="R9" s="13">
        <f>$V$8</f>
        <v>9048.71</v>
      </c>
      <c r="S9" s="13">
        <f>ROUND(IF($R$9&lt;=0,0,$R$9*UsedAutoLoanAPR/12),2)</f>
        <v>47.05</v>
      </c>
      <c r="T9" s="13">
        <f>ROUND(IF($R$9&lt;=0,0,MIN(UsedAutoLoanMinPayment,$R$9+$S$9)),2)</f>
        <v>212.0</v>
      </c>
      <c r="U9" s="13">
        <f>ROUND(IF($R$9&lt;=0,0,MIN(MAX(0,$R$9+$S$9-$T$9),MAX(0,$AD$9-$F$9-$K$9-$P$9))),2)</f>
        <v>0.0</v>
      </c>
      <c r="V9" s="13">
        <f>ROUND(MAX(0,$R$9+$S$9-$T$9-$U$9),2)</f>
        <v>8883.76</v>
      </c>
      <c r="W9" s="13">
        <f>$AA$8</f>
        <v>920.0</v>
      </c>
      <c r="X9" s="13">
        <f>ROUND(IF($W$9&lt;=0,0,$W$9*MedicalPlanAPR/12),2)</f>
        <v>0.0</v>
      </c>
      <c r="Y9" s="13">
        <f>ROUND(IF($W$9&lt;=0,0,MIN(MedicalPlanMinPayment,$W$9+$X$9)),2)</f>
        <v>45.0</v>
      </c>
      <c r="Z9" s="13">
        <f>ROUND(IF($W$9&lt;=0,0,MIN(MAX(0,$W$9+$X$9-$Y$9),MAX(0,$AD$9-$F$9-$K$9-$P$9-$U$9))),2)</f>
        <v>0.0</v>
      </c>
      <c r="AA9" s="13">
        <f>ROUND(MAX(0,$W$9+$X$9-$Y$9-$Z$9),2)</f>
        <v>875.0</v>
      </c>
      <c r="AB9" s="13">
        <f>ROUND(EarlyWindfallBaseExtra+EarlyWindfallPermanentLift+IF(A9&lt;=EarlyWindfallTempMonths,EarlyWindfallTempBoost,0),2)</f>
        <v>190.0</v>
      </c>
      <c r="AC9" s="13">
        <f>IF(A9=EarlyWindfallWindfallMonth,EarlyWindfallWindfall,0)</f>
        <v>0.0</v>
      </c>
      <c r="AD9" s="13">
        <f>ROUND($AB$9+$AC$9+IF($G$8&lt;=0,StoreCardMinPayment,0)+IF($L$8&lt;=0,CreditUnionVisaMinPayment,0)+IF($Q$8&lt;=0,PersonalLoanMinPayment,0)+IF($V$8&lt;=0,UsedAutoLoanMinPayment,0)+IF($AA$8&lt;=0,MedicalPlanMinPayment,0),2)</f>
        <v>190.0</v>
      </c>
      <c r="AE9" s="18" t="str">
        <f>IF($F$9&gt;0,Inputs!A6,IF($K$9&gt;0,Inputs!A7,IF($P$9&gt;0,Inputs!A8,IF($U$9&gt;0,Inputs!A9,IF($Z$9&gt;0,Inputs!A5,"")))))</f>
        <v>Store Card</v>
      </c>
      <c r="AF9" s="13">
        <f>ROUND(SUM($D$9,$I$9,$N$9,$S$9,$X$9),2)</f>
        <v>241.51</v>
      </c>
      <c r="AG9" s="13">
        <f>ROUND(SUM($G$9,$L$9,$Q$9,$V$9,$AA$9),2)</f>
        <v>21247.99</v>
      </c>
    </row>
    <row r="10" spans="1:33">
      <c r="A10" s="17">
        <f>ROW()-3</f>
        <v>6</v>
      </c>
      <c r="B10" s="18" t="str">
        <f>TEXT(EDATE(StartDate,A10-1),"mmm yyyy")</f>
        <v>Sep 2026</v>
      </c>
      <c r="C10" s="13">
        <f>$G$9</f>
        <v>175.43</v>
      </c>
      <c r="D10" s="13">
        <f>ROUND(IF($C$10&lt;=0,0,$C$10*StoreCardAPR/12),2)</f>
        <v>4.24</v>
      </c>
      <c r="E10" s="13">
        <f>ROUND(IF($C$10&lt;=0,0,MIN(StoreCardMinPayment,$C$10+$D$10)),2)</f>
        <v>87.0</v>
      </c>
      <c r="F10" s="13">
        <f>ROUND(IF($C$10&lt;=0,0,MIN(MAX(0,$C$10+$D$10-$E$10),MAX(0,$AD$10))),2)</f>
        <v>92.67</v>
      </c>
      <c r="G10" s="13">
        <f>ROUND(MAX(0,$C$10+$D$10-$E$10-$F$10),2)</f>
        <v>0.0</v>
      </c>
      <c r="H10" s="13">
        <f>$L$9</f>
        <v>6093.91</v>
      </c>
      <c r="I10" s="13">
        <f>ROUND(IF($H$10&lt;=0,0,$H$10*CreditUnionVisaAPR/12),2)</f>
        <v>126.91</v>
      </c>
      <c r="J10" s="13">
        <f>ROUND(IF($H$10&lt;=0,0,MIN(CreditUnionVisaMinPayment,$H$10+$I$10)),2)</f>
        <v>192.0</v>
      </c>
      <c r="K10" s="13">
        <f>ROUND(IF($H$10&lt;=0,0,MIN(MAX(0,$H$10+$I$10-$J$10),MAX(0,$AD$10-$F$10))),2)</f>
        <v>97.33</v>
      </c>
      <c r="L10" s="13">
        <f>ROUND(MAX(0,$H$10+$I$10-$J$10-$K$10),2)</f>
        <v>5931.49</v>
      </c>
      <c r="M10" s="13">
        <f>$Q$9</f>
        <v>5219.89</v>
      </c>
      <c r="N10" s="13">
        <f>ROUND(IF($M$10&lt;=0,0,$M$10*PersonalLoanAPR/12),2)</f>
        <v>54.33</v>
      </c>
      <c r="O10" s="13">
        <f>ROUND(IF($M$10&lt;=0,0,MIN(PersonalLoanMinPayment,$M$10+$N$10)),2)</f>
        <v>174.0</v>
      </c>
      <c r="P10" s="13">
        <f>ROUND(IF($M$10&lt;=0,0,MIN(MAX(0,$M$10+$N$10-$O$10),MAX(0,$AD$10-$F$10-$K$10))),2)</f>
        <v>0.0</v>
      </c>
      <c r="Q10" s="13">
        <f>ROUND(MAX(0,$M$10+$N$10-$O$10-$P$10),2)</f>
        <v>5100.22</v>
      </c>
      <c r="R10" s="13">
        <f>$V$9</f>
        <v>8883.76</v>
      </c>
      <c r="S10" s="13">
        <f>ROUND(IF($R$10&lt;=0,0,$R$10*UsedAutoLoanAPR/12),2)</f>
        <v>46.2</v>
      </c>
      <c r="T10" s="13">
        <f>ROUND(IF($R$10&lt;=0,0,MIN(UsedAutoLoanMinPayment,$R$10+$S$10)),2)</f>
        <v>212.0</v>
      </c>
      <c r="U10" s="13">
        <f>ROUND(IF($R$10&lt;=0,0,MIN(MAX(0,$R$10+$S$10-$T$10),MAX(0,$AD$10-$F$10-$K$10-$P$10))),2)</f>
        <v>0.0</v>
      </c>
      <c r="V10" s="13">
        <f>ROUND(MAX(0,$R$10+$S$10-$T$10-$U$10),2)</f>
        <v>8717.96</v>
      </c>
      <c r="W10" s="13">
        <f>$AA$9</f>
        <v>875.0</v>
      </c>
      <c r="X10" s="13">
        <f>ROUND(IF($W$10&lt;=0,0,$W$10*MedicalPlanAPR/12),2)</f>
        <v>0.0</v>
      </c>
      <c r="Y10" s="13">
        <f>ROUND(IF($W$10&lt;=0,0,MIN(MedicalPlanMinPayment,$W$10+$X$10)),2)</f>
        <v>45.0</v>
      </c>
      <c r="Z10" s="13">
        <f>ROUND(IF($W$10&lt;=0,0,MIN(MAX(0,$W$10+$X$10-$Y$10),MAX(0,$AD$10-$F$10-$K$10-$P$10-$U$10))),2)</f>
        <v>0.0</v>
      </c>
      <c r="AA10" s="13">
        <f>ROUND(MAX(0,$W$10+$X$10-$Y$10-$Z$10),2)</f>
        <v>830.0</v>
      </c>
      <c r="AB10" s="13">
        <f>ROUND(EarlyWindfallBaseExtra+EarlyWindfallPermanentLift+IF(A10&lt;=EarlyWindfallTempMonths,EarlyWindfallTempBoost,0),2)</f>
        <v>190.0</v>
      </c>
      <c r="AC10" s="13">
        <f>IF(A10=EarlyWindfallWindfallMonth,EarlyWindfallWindfall,0)</f>
        <v>0.0</v>
      </c>
      <c r="AD10" s="13">
        <f>ROUND($AB$10+$AC$10+IF($G$9&lt;=0,StoreCardMinPayment,0)+IF($L$9&lt;=0,CreditUnionVisaMinPayment,0)+IF($Q$9&lt;=0,PersonalLoanMinPayment,0)+IF($V$9&lt;=0,UsedAutoLoanMinPayment,0)+IF($AA$9&lt;=0,MedicalPlanMinPayment,0),2)</f>
        <v>190.0</v>
      </c>
      <c r="AE10" s="18" t="str">
        <f>IF($F$10&gt;0,Inputs!A6,IF($K$10&gt;0,Inputs!A7,IF($P$10&gt;0,Inputs!A8,IF($U$10&gt;0,Inputs!A9,IF($Z$10&gt;0,Inputs!A5,"")))))</f>
        <v>Store Card</v>
      </c>
      <c r="AF10" s="13">
        <f>ROUND(SUM($D$10,$I$10,$N$10,$S$10,$X$10),2)</f>
        <v>231.68</v>
      </c>
      <c r="AG10" s="13">
        <f>ROUND(SUM($G$10,$L$10,$Q$10,$V$10,$AA$10),2)</f>
        <v>20579.67</v>
      </c>
    </row>
    <row r="11" spans="1:33">
      <c r="A11" s="17">
        <f>ROW()-3</f>
        <v>7</v>
      </c>
      <c r="B11" s="18" t="str">
        <f>TEXT(EDATE(StartDate,A11-1),"mmm yyyy")</f>
        <v>Oct 2026</v>
      </c>
      <c r="C11" s="13">
        <f>$G$10</f>
        <v>0.0</v>
      </c>
      <c r="D11" s="13">
        <f>ROUND(IF($C$11&lt;=0,0,$C$11*StoreCardAPR/12),2)</f>
        <v>0.0</v>
      </c>
      <c r="E11" s="13">
        <f>ROUND(IF($C$11&lt;=0,0,MIN(StoreCardMinPayment,$C$11+$D$11)),2)</f>
        <v>0.0</v>
      </c>
      <c r="F11" s="13">
        <f>ROUND(IF($C$11&lt;=0,0,MIN(MAX(0,$C$11+$D$11-$E$11),MAX(0,$AD$11))),2)</f>
        <v>0.0</v>
      </c>
      <c r="G11" s="13">
        <f>ROUND(MAX(0,$C$11+$D$11-$E$11-$F$11),2)</f>
        <v>0.0</v>
      </c>
      <c r="H11" s="13">
        <f>$L$10</f>
        <v>5931.49</v>
      </c>
      <c r="I11" s="13">
        <f>ROUND(IF($H$11&lt;=0,0,$H$11*CreditUnionVisaAPR/12),2)</f>
        <v>123.52</v>
      </c>
      <c r="J11" s="13">
        <f>ROUND(IF($H$11&lt;=0,0,MIN(CreditUnionVisaMinPayment,$H$11+$I$11)),2)</f>
        <v>192.0</v>
      </c>
      <c r="K11" s="13">
        <f>ROUND(IF($H$11&lt;=0,0,MIN(MAX(0,$H$11+$I$11-$J$11),MAX(0,$AD$11-$F$11))),2)</f>
        <v>277.0</v>
      </c>
      <c r="L11" s="13">
        <f>ROUND(MAX(0,$H$11+$I$11-$J$11-$K$11),2)</f>
        <v>5586.01</v>
      </c>
      <c r="M11" s="13">
        <f>$Q$10</f>
        <v>5100.22</v>
      </c>
      <c r="N11" s="13">
        <f>ROUND(IF($M$11&lt;=0,0,$M$11*PersonalLoanAPR/12),2)</f>
        <v>53.08</v>
      </c>
      <c r="O11" s="13">
        <f>ROUND(IF($M$11&lt;=0,0,MIN(PersonalLoanMinPayment,$M$11+$N$11)),2)</f>
        <v>174.0</v>
      </c>
      <c r="P11" s="13">
        <f>ROUND(IF($M$11&lt;=0,0,MIN(MAX(0,$M$11+$N$11-$O$11),MAX(0,$AD$11-$F$11-$K$11))),2)</f>
        <v>0.0</v>
      </c>
      <c r="Q11" s="13">
        <f>ROUND(MAX(0,$M$11+$N$11-$O$11-$P$11),2)</f>
        <v>4979.3</v>
      </c>
      <c r="R11" s="13">
        <f>$V$10</f>
        <v>8717.96</v>
      </c>
      <c r="S11" s="13">
        <f>ROUND(IF($R$11&lt;=0,0,$R$11*UsedAutoLoanAPR/12),2)</f>
        <v>45.33</v>
      </c>
      <c r="T11" s="13">
        <f>ROUND(IF($R$11&lt;=0,0,MIN(UsedAutoLoanMinPayment,$R$11+$S$11)),2)</f>
        <v>212.0</v>
      </c>
      <c r="U11" s="13">
        <f>ROUND(IF($R$11&lt;=0,0,MIN(MAX(0,$R$11+$S$11-$T$11),MAX(0,$AD$11-$F$11-$K$11-$P$11))),2)</f>
        <v>0.0</v>
      </c>
      <c r="V11" s="13">
        <f>ROUND(MAX(0,$R$11+$S$11-$T$11-$U$11),2)</f>
        <v>8551.29</v>
      </c>
      <c r="W11" s="13">
        <f>$AA$10</f>
        <v>830.0</v>
      </c>
      <c r="X11" s="13">
        <f>ROUND(IF($W$11&lt;=0,0,$W$11*MedicalPlanAPR/12),2)</f>
        <v>0.0</v>
      </c>
      <c r="Y11" s="13">
        <f>ROUND(IF($W$11&lt;=0,0,MIN(MedicalPlanMinPayment,$W$11+$X$11)),2)</f>
        <v>45.0</v>
      </c>
      <c r="Z11" s="13">
        <f>ROUND(IF($W$11&lt;=0,0,MIN(MAX(0,$W$11+$X$11-$Y$11),MAX(0,$AD$11-$F$11-$K$11-$P$11-$U$11))),2)</f>
        <v>0.0</v>
      </c>
      <c r="AA11" s="13">
        <f>ROUND(MAX(0,$W$11+$X$11-$Y$11-$Z$11),2)</f>
        <v>785.0</v>
      </c>
      <c r="AB11" s="13">
        <f>ROUND(EarlyWindfallBaseExtra+EarlyWindfallPermanentLift+IF(A11&lt;=EarlyWindfallTempMonths,EarlyWindfallTempBoost,0),2)</f>
        <v>190.0</v>
      </c>
      <c r="AC11" s="13">
        <f>IF(A11=EarlyWindfallWindfallMonth,EarlyWindfallWindfall,0)</f>
        <v>0.0</v>
      </c>
      <c r="AD11" s="13">
        <f>ROUND($AB$11+$AC$11+IF($G$10&lt;=0,StoreCardMinPayment,0)+IF($L$10&lt;=0,CreditUnionVisaMinPayment,0)+IF($Q$10&lt;=0,PersonalLoanMinPayment,0)+IF($V$10&lt;=0,UsedAutoLoanMinPayment,0)+IF($AA$10&lt;=0,MedicalPlanMinPayment,0),2)</f>
        <v>277.0</v>
      </c>
      <c r="AE11" s="18" t="str">
        <f>IF($F$11&gt;0,Inputs!A6,IF($K$11&gt;0,Inputs!A7,IF($P$11&gt;0,Inputs!A8,IF($U$11&gt;0,Inputs!A9,IF($Z$11&gt;0,Inputs!A5,"")))))</f>
        <v>Credit Union Visa</v>
      </c>
      <c r="AF11" s="13">
        <f>ROUND(SUM($D$11,$I$11,$N$11,$S$11,$X$11),2)</f>
        <v>221.93</v>
      </c>
      <c r="AG11" s="13">
        <f>ROUND(SUM($G$11,$L$11,$Q$11,$V$11,$AA$11),2)</f>
        <v>19901.6</v>
      </c>
    </row>
    <row r="12" spans="1:33">
      <c r="A12" s="17">
        <f>ROW()-3</f>
        <v>8</v>
      </c>
      <c r="B12" s="18" t="str">
        <f>TEXT(EDATE(StartDate,A12-1),"mmm yyyy")</f>
        <v>Nov 2026</v>
      </c>
      <c r="C12" s="13">
        <f>$G$11</f>
        <v>0.0</v>
      </c>
      <c r="D12" s="13">
        <f>ROUND(IF($C$12&lt;=0,0,$C$12*StoreCardAPR/12),2)</f>
        <v>0.0</v>
      </c>
      <c r="E12" s="13">
        <f>ROUND(IF($C$12&lt;=0,0,MIN(StoreCardMinPayment,$C$12+$D$12)),2)</f>
        <v>0.0</v>
      </c>
      <c r="F12" s="13">
        <f>ROUND(IF($C$12&lt;=0,0,MIN(MAX(0,$C$12+$D$12-$E$12),MAX(0,$AD$12))),2)</f>
        <v>0.0</v>
      </c>
      <c r="G12" s="13">
        <f>ROUND(MAX(0,$C$12+$D$12-$E$12-$F$12),2)</f>
        <v>0.0</v>
      </c>
      <c r="H12" s="13">
        <f>$L$11</f>
        <v>5586.01</v>
      </c>
      <c r="I12" s="13">
        <f>ROUND(IF($H$12&lt;=0,0,$H$12*CreditUnionVisaAPR/12),2)</f>
        <v>116.33</v>
      </c>
      <c r="J12" s="13">
        <f>ROUND(IF($H$12&lt;=0,0,MIN(CreditUnionVisaMinPayment,$H$12+$I$12)),2)</f>
        <v>192.0</v>
      </c>
      <c r="K12" s="13">
        <f>ROUND(IF($H$12&lt;=0,0,MIN(MAX(0,$H$12+$I$12-$J$12),MAX(0,$AD$12-$F$12))),2)</f>
        <v>277.0</v>
      </c>
      <c r="L12" s="13">
        <f>ROUND(MAX(0,$H$12+$I$12-$J$12-$K$12),2)</f>
        <v>5233.34</v>
      </c>
      <c r="M12" s="13">
        <f>$Q$11</f>
        <v>4979.3</v>
      </c>
      <c r="N12" s="13">
        <f>ROUND(IF($M$12&lt;=0,0,$M$12*PersonalLoanAPR/12),2)</f>
        <v>51.83</v>
      </c>
      <c r="O12" s="13">
        <f>ROUND(IF($M$12&lt;=0,0,MIN(PersonalLoanMinPayment,$M$12+$N$12)),2)</f>
        <v>174.0</v>
      </c>
      <c r="P12" s="13">
        <f>ROUND(IF($M$12&lt;=0,0,MIN(MAX(0,$M$12+$N$12-$O$12),MAX(0,$AD$12-$F$12-$K$12))),2)</f>
        <v>0.0</v>
      </c>
      <c r="Q12" s="13">
        <f>ROUND(MAX(0,$M$12+$N$12-$O$12-$P$12),2)</f>
        <v>4857.13</v>
      </c>
      <c r="R12" s="13">
        <f>$V$11</f>
        <v>8551.29</v>
      </c>
      <c r="S12" s="13">
        <f>ROUND(IF($R$12&lt;=0,0,$R$12*UsedAutoLoanAPR/12),2)</f>
        <v>44.47</v>
      </c>
      <c r="T12" s="13">
        <f>ROUND(IF($R$12&lt;=0,0,MIN(UsedAutoLoanMinPayment,$R$12+$S$12)),2)</f>
        <v>212.0</v>
      </c>
      <c r="U12" s="13">
        <f>ROUND(IF($R$12&lt;=0,0,MIN(MAX(0,$R$12+$S$12-$T$12),MAX(0,$AD$12-$F$12-$K$12-$P$12))),2)</f>
        <v>0.0</v>
      </c>
      <c r="V12" s="13">
        <f>ROUND(MAX(0,$R$12+$S$12-$T$12-$U$12),2)</f>
        <v>8383.76</v>
      </c>
      <c r="W12" s="13">
        <f>$AA$11</f>
        <v>785.0</v>
      </c>
      <c r="X12" s="13">
        <f>ROUND(IF($W$12&lt;=0,0,$W$12*MedicalPlanAPR/12),2)</f>
        <v>0.0</v>
      </c>
      <c r="Y12" s="13">
        <f>ROUND(IF($W$12&lt;=0,0,MIN(MedicalPlanMinPayment,$W$12+$X$12)),2)</f>
        <v>45.0</v>
      </c>
      <c r="Z12" s="13">
        <f>ROUND(IF($W$12&lt;=0,0,MIN(MAX(0,$W$12+$X$12-$Y$12),MAX(0,$AD$12-$F$12-$K$12-$P$12-$U$12))),2)</f>
        <v>0.0</v>
      </c>
      <c r="AA12" s="13">
        <f>ROUND(MAX(0,$W$12+$X$12-$Y$12-$Z$12),2)</f>
        <v>740.0</v>
      </c>
      <c r="AB12" s="13">
        <f>ROUND(EarlyWindfallBaseExtra+EarlyWindfallPermanentLift+IF(A12&lt;=EarlyWindfallTempMonths,EarlyWindfallTempBoost,0),2)</f>
        <v>190.0</v>
      </c>
      <c r="AC12" s="13">
        <f>IF(A12=EarlyWindfallWindfallMonth,EarlyWindfallWindfall,0)</f>
        <v>0.0</v>
      </c>
      <c r="AD12" s="13">
        <f>ROUND($AB$12+$AC$12+IF($G$11&lt;=0,StoreCardMinPayment,0)+IF($L$11&lt;=0,CreditUnionVisaMinPayment,0)+IF($Q$11&lt;=0,PersonalLoanMinPayment,0)+IF($V$11&lt;=0,UsedAutoLoanMinPayment,0)+IF($AA$11&lt;=0,MedicalPlanMinPayment,0),2)</f>
        <v>277.0</v>
      </c>
      <c r="AE12" s="18" t="str">
        <f>IF($F$12&gt;0,Inputs!A6,IF($K$12&gt;0,Inputs!A7,IF($P$12&gt;0,Inputs!A8,IF($U$12&gt;0,Inputs!A9,IF($Z$12&gt;0,Inputs!A5,"")))))</f>
        <v>Credit Union Visa</v>
      </c>
      <c r="AF12" s="13">
        <f>ROUND(SUM($D$12,$I$12,$N$12,$S$12,$X$12),2)</f>
        <v>212.63</v>
      </c>
      <c r="AG12" s="13">
        <f>ROUND(SUM($G$12,$L$12,$Q$12,$V$12,$AA$12),2)</f>
        <v>19214.23</v>
      </c>
    </row>
    <row r="13" spans="1:33">
      <c r="A13" s="17">
        <f>ROW()-3</f>
        <v>9</v>
      </c>
      <c r="B13" s="18" t="str">
        <f>TEXT(EDATE(StartDate,A13-1),"mmm yyyy")</f>
        <v>Dec 2026</v>
      </c>
      <c r="C13" s="13">
        <f>$G$12</f>
        <v>0.0</v>
      </c>
      <c r="D13" s="13">
        <f>ROUND(IF($C$13&lt;=0,0,$C$13*StoreCardAPR/12),2)</f>
        <v>0.0</v>
      </c>
      <c r="E13" s="13">
        <f>ROUND(IF($C$13&lt;=0,0,MIN(StoreCardMinPayment,$C$13+$D$13)),2)</f>
        <v>0.0</v>
      </c>
      <c r="F13" s="13">
        <f>ROUND(IF($C$13&lt;=0,0,MIN(MAX(0,$C$13+$D$13-$E$13),MAX(0,$AD$13))),2)</f>
        <v>0.0</v>
      </c>
      <c r="G13" s="13">
        <f>ROUND(MAX(0,$C$13+$D$13-$E$13-$F$13),2)</f>
        <v>0.0</v>
      </c>
      <c r="H13" s="13">
        <f>$L$12</f>
        <v>5233.34</v>
      </c>
      <c r="I13" s="13">
        <f>ROUND(IF($H$13&lt;=0,0,$H$13*CreditUnionVisaAPR/12),2)</f>
        <v>108.98</v>
      </c>
      <c r="J13" s="13">
        <f>ROUND(IF($H$13&lt;=0,0,MIN(CreditUnionVisaMinPayment,$H$13+$I$13)),2)</f>
        <v>192.0</v>
      </c>
      <c r="K13" s="13">
        <f>ROUND(IF($H$13&lt;=0,0,MIN(MAX(0,$H$13+$I$13-$J$13),MAX(0,$AD$13-$F$13))),2)</f>
        <v>277.0</v>
      </c>
      <c r="L13" s="13">
        <f>ROUND(MAX(0,$H$13+$I$13-$J$13-$K$13),2)</f>
        <v>4873.32</v>
      </c>
      <c r="M13" s="13">
        <f>$Q$12</f>
        <v>4857.13</v>
      </c>
      <c r="N13" s="13">
        <f>ROUND(IF($M$13&lt;=0,0,$M$13*PersonalLoanAPR/12),2)</f>
        <v>50.55</v>
      </c>
      <c r="O13" s="13">
        <f>ROUND(IF($M$13&lt;=0,0,MIN(PersonalLoanMinPayment,$M$13+$N$13)),2)</f>
        <v>174.0</v>
      </c>
      <c r="P13" s="13">
        <f>ROUND(IF($M$13&lt;=0,0,MIN(MAX(0,$M$13+$N$13-$O$13),MAX(0,$AD$13-$F$13-$K$13))),2)</f>
        <v>0.0</v>
      </c>
      <c r="Q13" s="13">
        <f>ROUND(MAX(0,$M$13+$N$13-$O$13-$P$13),2)</f>
        <v>4733.68</v>
      </c>
      <c r="R13" s="13">
        <f>$V$12</f>
        <v>8383.76</v>
      </c>
      <c r="S13" s="13">
        <f>ROUND(IF($R$13&lt;=0,0,$R$13*UsedAutoLoanAPR/12),2)</f>
        <v>43.6</v>
      </c>
      <c r="T13" s="13">
        <f>ROUND(IF($R$13&lt;=0,0,MIN(UsedAutoLoanMinPayment,$R$13+$S$13)),2)</f>
        <v>212.0</v>
      </c>
      <c r="U13" s="13">
        <f>ROUND(IF($R$13&lt;=0,0,MIN(MAX(0,$R$13+$S$13-$T$13),MAX(0,$AD$13-$F$13-$K$13-$P$13))),2)</f>
        <v>0.0</v>
      </c>
      <c r="V13" s="13">
        <f>ROUND(MAX(0,$R$13+$S$13-$T$13-$U$13),2)</f>
        <v>8215.36</v>
      </c>
      <c r="W13" s="13">
        <f>$AA$12</f>
        <v>740.0</v>
      </c>
      <c r="X13" s="13">
        <f>ROUND(IF($W$13&lt;=0,0,$W$13*MedicalPlanAPR/12),2)</f>
        <v>0.0</v>
      </c>
      <c r="Y13" s="13">
        <f>ROUND(IF($W$13&lt;=0,0,MIN(MedicalPlanMinPayment,$W$13+$X$13)),2)</f>
        <v>45.0</v>
      </c>
      <c r="Z13" s="13">
        <f>ROUND(IF($W$13&lt;=0,0,MIN(MAX(0,$W$13+$X$13-$Y$13),MAX(0,$AD$13-$F$13-$K$13-$P$13-$U$13))),2)</f>
        <v>0.0</v>
      </c>
      <c r="AA13" s="13">
        <f>ROUND(MAX(0,$W$13+$X$13-$Y$13-$Z$13),2)</f>
        <v>695.0</v>
      </c>
      <c r="AB13" s="13">
        <f>ROUND(EarlyWindfallBaseExtra+EarlyWindfallPermanentLift+IF(A13&lt;=EarlyWindfallTempMonths,EarlyWindfallTempBoost,0),2)</f>
        <v>190.0</v>
      </c>
      <c r="AC13" s="13">
        <f>IF(A13=EarlyWindfallWindfallMonth,EarlyWindfallWindfall,0)</f>
        <v>0.0</v>
      </c>
      <c r="AD13" s="13">
        <f>ROUND($AB$13+$AC$13+IF($G$12&lt;=0,StoreCardMinPayment,0)+IF($L$12&lt;=0,CreditUnionVisaMinPayment,0)+IF($Q$12&lt;=0,PersonalLoanMinPayment,0)+IF($V$12&lt;=0,UsedAutoLoanMinPayment,0)+IF($AA$12&lt;=0,MedicalPlanMinPayment,0),2)</f>
        <v>277.0</v>
      </c>
      <c r="AE13" s="18" t="str">
        <f>IF($F$13&gt;0,Inputs!A6,IF($K$13&gt;0,Inputs!A7,IF($P$13&gt;0,Inputs!A8,IF($U$13&gt;0,Inputs!A9,IF($Z$13&gt;0,Inputs!A5,"")))))</f>
        <v>Credit Union Visa</v>
      </c>
      <c r="AF13" s="13">
        <f>ROUND(SUM($D$13,$I$13,$N$13,$S$13,$X$13),2)</f>
        <v>203.13</v>
      </c>
      <c r="AG13" s="13">
        <f>ROUND(SUM($G$13,$L$13,$Q$13,$V$13,$AA$13),2)</f>
        <v>18517.36</v>
      </c>
    </row>
    <row r="14" spans="1:33">
      <c r="A14" s="17">
        <f>ROW()-3</f>
        <v>10</v>
      </c>
      <c r="B14" s="18" t="str">
        <f>TEXT(EDATE(StartDate,A14-1),"mmm yyyy")</f>
        <v>Jan 2027</v>
      </c>
      <c r="C14" s="13">
        <f>$G$13</f>
        <v>0.0</v>
      </c>
      <c r="D14" s="13">
        <f>ROUND(IF($C$14&lt;=0,0,$C$14*StoreCardAPR/12),2)</f>
        <v>0.0</v>
      </c>
      <c r="E14" s="13">
        <f>ROUND(IF($C$14&lt;=0,0,MIN(StoreCardMinPayment,$C$14+$D$14)),2)</f>
        <v>0.0</v>
      </c>
      <c r="F14" s="13">
        <f>ROUND(IF($C$14&lt;=0,0,MIN(MAX(0,$C$14+$D$14-$E$14),MAX(0,$AD$14))),2)</f>
        <v>0.0</v>
      </c>
      <c r="G14" s="13">
        <f>ROUND(MAX(0,$C$14+$D$14-$E$14-$F$14),2)</f>
        <v>0.0</v>
      </c>
      <c r="H14" s="13">
        <f>$L$13</f>
        <v>4873.32</v>
      </c>
      <c r="I14" s="13">
        <f>ROUND(IF($H$14&lt;=0,0,$H$14*CreditUnionVisaAPR/12),2)</f>
        <v>101.49</v>
      </c>
      <c r="J14" s="13">
        <f>ROUND(IF($H$14&lt;=0,0,MIN(CreditUnionVisaMinPayment,$H$14+$I$14)),2)</f>
        <v>192.0</v>
      </c>
      <c r="K14" s="13">
        <f>ROUND(IF($H$14&lt;=0,0,MIN(MAX(0,$H$14+$I$14-$J$14),MAX(0,$AD$14-$F$14))),2)</f>
        <v>277.0</v>
      </c>
      <c r="L14" s="13">
        <f>ROUND(MAX(0,$H$14+$I$14-$J$14-$K$14),2)</f>
        <v>4505.81</v>
      </c>
      <c r="M14" s="13">
        <f>$Q$13</f>
        <v>4733.68</v>
      </c>
      <c r="N14" s="13">
        <f>ROUND(IF($M$14&lt;=0,0,$M$14*PersonalLoanAPR/12),2)</f>
        <v>49.27</v>
      </c>
      <c r="O14" s="13">
        <f>ROUND(IF($M$14&lt;=0,0,MIN(PersonalLoanMinPayment,$M$14+$N$14)),2)</f>
        <v>174.0</v>
      </c>
      <c r="P14" s="13">
        <f>ROUND(IF($M$14&lt;=0,0,MIN(MAX(0,$M$14+$N$14-$O$14),MAX(0,$AD$14-$F$14-$K$14))),2)</f>
        <v>0.0</v>
      </c>
      <c r="Q14" s="13">
        <f>ROUND(MAX(0,$M$14+$N$14-$O$14-$P$14),2)</f>
        <v>4608.95</v>
      </c>
      <c r="R14" s="13">
        <f>$V$13</f>
        <v>8215.36</v>
      </c>
      <c r="S14" s="13">
        <f>ROUND(IF($R$14&lt;=0,0,$R$14*UsedAutoLoanAPR/12),2)</f>
        <v>42.72</v>
      </c>
      <c r="T14" s="13">
        <f>ROUND(IF($R$14&lt;=0,0,MIN(UsedAutoLoanMinPayment,$R$14+$S$14)),2)</f>
        <v>212.0</v>
      </c>
      <c r="U14" s="13">
        <f>ROUND(IF($R$14&lt;=0,0,MIN(MAX(0,$R$14+$S$14-$T$14),MAX(0,$AD$14-$F$14-$K$14-$P$14))),2)</f>
        <v>0.0</v>
      </c>
      <c r="V14" s="13">
        <f>ROUND(MAX(0,$R$14+$S$14-$T$14-$U$14),2)</f>
        <v>8046.08</v>
      </c>
      <c r="W14" s="13">
        <f>$AA$13</f>
        <v>695.0</v>
      </c>
      <c r="X14" s="13">
        <f>ROUND(IF($W$14&lt;=0,0,$W$14*MedicalPlanAPR/12),2)</f>
        <v>0.0</v>
      </c>
      <c r="Y14" s="13">
        <f>ROUND(IF($W$14&lt;=0,0,MIN(MedicalPlanMinPayment,$W$14+$X$14)),2)</f>
        <v>45.0</v>
      </c>
      <c r="Z14" s="13">
        <f>ROUND(IF($W$14&lt;=0,0,MIN(MAX(0,$W$14+$X$14-$Y$14),MAX(0,$AD$14-$F$14-$K$14-$P$14-$U$14))),2)</f>
        <v>0.0</v>
      </c>
      <c r="AA14" s="13">
        <f>ROUND(MAX(0,$W$14+$X$14-$Y$14-$Z$14),2)</f>
        <v>650.0</v>
      </c>
      <c r="AB14" s="13">
        <f>ROUND(EarlyWindfallBaseExtra+EarlyWindfallPermanentLift+IF(A14&lt;=EarlyWindfallTempMonths,EarlyWindfallTempBoost,0),2)</f>
        <v>190.0</v>
      </c>
      <c r="AC14" s="13">
        <f>IF(A14=EarlyWindfallWindfallMonth,EarlyWindfallWindfall,0)</f>
        <v>0.0</v>
      </c>
      <c r="AD14" s="13">
        <f>ROUND($AB$14+$AC$14+IF($G$13&lt;=0,StoreCardMinPayment,0)+IF($L$13&lt;=0,CreditUnionVisaMinPayment,0)+IF($Q$13&lt;=0,PersonalLoanMinPayment,0)+IF($V$13&lt;=0,UsedAutoLoanMinPayment,0)+IF($AA$13&lt;=0,MedicalPlanMinPayment,0),2)</f>
        <v>277.0</v>
      </c>
      <c r="AE14" s="18" t="str">
        <f>IF($F$14&gt;0,Inputs!A6,IF($K$14&gt;0,Inputs!A7,IF($P$14&gt;0,Inputs!A8,IF($U$14&gt;0,Inputs!A9,IF($Z$14&gt;0,Inputs!A5,"")))))</f>
        <v>Credit Union Visa</v>
      </c>
      <c r="AF14" s="13">
        <f>ROUND(SUM($D$14,$I$14,$N$14,$S$14,$X$14),2)</f>
        <v>193.48</v>
      </c>
      <c r="AG14" s="13">
        <f>ROUND(SUM($G$14,$L$14,$Q$14,$V$14,$AA$14),2)</f>
        <v>17810.84</v>
      </c>
    </row>
    <row r="15" spans="1:33">
      <c r="A15" s="17">
        <f>ROW()-3</f>
        <v>11</v>
      </c>
      <c r="B15" s="18" t="str">
        <f>TEXT(EDATE(StartDate,A15-1),"mmm yyyy")</f>
        <v>Feb 2027</v>
      </c>
      <c r="C15" s="13">
        <f>$G$14</f>
        <v>0.0</v>
      </c>
      <c r="D15" s="13">
        <f>ROUND(IF($C$15&lt;=0,0,$C$15*StoreCardAPR/12),2)</f>
        <v>0.0</v>
      </c>
      <c r="E15" s="13">
        <f>ROUND(IF($C$15&lt;=0,0,MIN(StoreCardMinPayment,$C$15+$D$15)),2)</f>
        <v>0.0</v>
      </c>
      <c r="F15" s="13">
        <f>ROUND(IF($C$15&lt;=0,0,MIN(MAX(0,$C$15+$D$15-$E$15),MAX(0,$AD$15))),2)</f>
        <v>0.0</v>
      </c>
      <c r="G15" s="13">
        <f>ROUND(MAX(0,$C$15+$D$15-$E$15-$F$15),2)</f>
        <v>0.0</v>
      </c>
      <c r="H15" s="13">
        <f>$L$14</f>
        <v>4505.81</v>
      </c>
      <c r="I15" s="13">
        <f>ROUND(IF($H$15&lt;=0,0,$H$15*CreditUnionVisaAPR/12),2)</f>
        <v>93.83</v>
      </c>
      <c r="J15" s="13">
        <f>ROUND(IF($H$15&lt;=0,0,MIN(CreditUnionVisaMinPayment,$H$15+$I$15)),2)</f>
        <v>192.0</v>
      </c>
      <c r="K15" s="13">
        <f>ROUND(IF($H$15&lt;=0,0,MIN(MAX(0,$H$15+$I$15-$J$15),MAX(0,$AD$15-$F$15))),2)</f>
        <v>277.0</v>
      </c>
      <c r="L15" s="13">
        <f>ROUND(MAX(0,$H$15+$I$15-$J$15-$K$15),2)</f>
        <v>4130.64</v>
      </c>
      <c r="M15" s="13">
        <f>$Q$14</f>
        <v>4608.95</v>
      </c>
      <c r="N15" s="13">
        <f>ROUND(IF($M$15&lt;=0,0,$M$15*PersonalLoanAPR/12),2)</f>
        <v>47.97</v>
      </c>
      <c r="O15" s="13">
        <f>ROUND(IF($M$15&lt;=0,0,MIN(PersonalLoanMinPayment,$M$15+$N$15)),2)</f>
        <v>174.0</v>
      </c>
      <c r="P15" s="13">
        <f>ROUND(IF($M$15&lt;=0,0,MIN(MAX(0,$M$15+$N$15-$O$15),MAX(0,$AD$15-$F$15-$K$15))),2)</f>
        <v>0.0</v>
      </c>
      <c r="Q15" s="13">
        <f>ROUND(MAX(0,$M$15+$N$15-$O$15-$P$15),2)</f>
        <v>4482.92</v>
      </c>
      <c r="R15" s="13">
        <f>$V$14</f>
        <v>8046.08</v>
      </c>
      <c r="S15" s="13">
        <f>ROUND(IF($R$15&lt;=0,0,$R$15*UsedAutoLoanAPR/12),2)</f>
        <v>41.84</v>
      </c>
      <c r="T15" s="13">
        <f>ROUND(IF($R$15&lt;=0,0,MIN(UsedAutoLoanMinPayment,$R$15+$S$15)),2)</f>
        <v>212.0</v>
      </c>
      <c r="U15" s="13">
        <f>ROUND(IF($R$15&lt;=0,0,MIN(MAX(0,$R$15+$S$15-$T$15),MAX(0,$AD$15-$F$15-$K$15-$P$15))),2)</f>
        <v>0.0</v>
      </c>
      <c r="V15" s="13">
        <f>ROUND(MAX(0,$R$15+$S$15-$T$15-$U$15),2)</f>
        <v>7875.92</v>
      </c>
      <c r="W15" s="13">
        <f>$AA$14</f>
        <v>650.0</v>
      </c>
      <c r="X15" s="13">
        <f>ROUND(IF($W$15&lt;=0,0,$W$15*MedicalPlanAPR/12),2)</f>
        <v>0.0</v>
      </c>
      <c r="Y15" s="13">
        <f>ROUND(IF($W$15&lt;=0,0,MIN(MedicalPlanMinPayment,$W$15+$X$15)),2)</f>
        <v>45.0</v>
      </c>
      <c r="Z15" s="13">
        <f>ROUND(IF($W$15&lt;=0,0,MIN(MAX(0,$W$15+$X$15-$Y$15),MAX(0,$AD$15-$F$15-$K$15-$P$15-$U$15))),2)</f>
        <v>0.0</v>
      </c>
      <c r="AA15" s="13">
        <f>ROUND(MAX(0,$W$15+$X$15-$Y$15-$Z$15),2)</f>
        <v>605.0</v>
      </c>
      <c r="AB15" s="13">
        <f>ROUND(EarlyWindfallBaseExtra+EarlyWindfallPermanentLift+IF(A15&lt;=EarlyWindfallTempMonths,EarlyWindfallTempBoost,0),2)</f>
        <v>190.0</v>
      </c>
      <c r="AC15" s="13">
        <f>IF(A15=EarlyWindfallWindfallMonth,EarlyWindfallWindfall,0)</f>
        <v>0.0</v>
      </c>
      <c r="AD15" s="13">
        <f>ROUND($AB$15+$AC$15+IF($G$14&lt;=0,StoreCardMinPayment,0)+IF($L$14&lt;=0,CreditUnionVisaMinPayment,0)+IF($Q$14&lt;=0,PersonalLoanMinPayment,0)+IF($V$14&lt;=0,UsedAutoLoanMinPayment,0)+IF($AA$14&lt;=0,MedicalPlanMinPayment,0),2)</f>
        <v>277.0</v>
      </c>
      <c r="AE15" s="18" t="str">
        <f>IF($F$15&gt;0,Inputs!A6,IF($K$15&gt;0,Inputs!A7,IF($P$15&gt;0,Inputs!A8,IF($U$15&gt;0,Inputs!A9,IF($Z$15&gt;0,Inputs!A5,"")))))</f>
        <v>Credit Union Visa</v>
      </c>
      <c r="AF15" s="13">
        <f>ROUND(SUM($D$15,$I$15,$N$15,$S$15,$X$15),2)</f>
        <v>183.64</v>
      </c>
      <c r="AG15" s="13">
        <f>ROUND(SUM($G$15,$L$15,$Q$15,$V$15,$AA$15),2)</f>
        <v>17094.48</v>
      </c>
    </row>
    <row r="16" spans="1:33">
      <c r="A16" s="17">
        <f>ROW()-3</f>
        <v>12</v>
      </c>
      <c r="B16" s="18" t="str">
        <f>TEXT(EDATE(StartDate,A16-1),"mmm yyyy")</f>
        <v>Mar 2027</v>
      </c>
      <c r="C16" s="13">
        <f>$G$15</f>
        <v>0.0</v>
      </c>
      <c r="D16" s="13">
        <f>ROUND(IF($C$16&lt;=0,0,$C$16*StoreCardAPR/12),2)</f>
        <v>0.0</v>
      </c>
      <c r="E16" s="13">
        <f>ROUND(IF($C$16&lt;=0,0,MIN(StoreCardMinPayment,$C$16+$D$16)),2)</f>
        <v>0.0</v>
      </c>
      <c r="F16" s="13">
        <f>ROUND(IF($C$16&lt;=0,0,MIN(MAX(0,$C$16+$D$16-$E$16),MAX(0,$AD$16))),2)</f>
        <v>0.0</v>
      </c>
      <c r="G16" s="13">
        <f>ROUND(MAX(0,$C$16+$D$16-$E$16-$F$16),2)</f>
        <v>0.0</v>
      </c>
      <c r="H16" s="13">
        <f>$L$15</f>
        <v>4130.64</v>
      </c>
      <c r="I16" s="13">
        <f>ROUND(IF($H$16&lt;=0,0,$H$16*CreditUnionVisaAPR/12),2)</f>
        <v>86.02</v>
      </c>
      <c r="J16" s="13">
        <f>ROUND(IF($H$16&lt;=0,0,MIN(CreditUnionVisaMinPayment,$H$16+$I$16)),2)</f>
        <v>192.0</v>
      </c>
      <c r="K16" s="13">
        <f>ROUND(IF($H$16&lt;=0,0,MIN(MAX(0,$H$16+$I$16-$J$16),MAX(0,$AD$16-$F$16))),2)</f>
        <v>277.0</v>
      </c>
      <c r="L16" s="13">
        <f>ROUND(MAX(0,$H$16+$I$16-$J$16-$K$16),2)</f>
        <v>3747.66</v>
      </c>
      <c r="M16" s="13">
        <f>$Q$15</f>
        <v>4482.92</v>
      </c>
      <c r="N16" s="13">
        <f>ROUND(IF($M$16&lt;=0,0,$M$16*PersonalLoanAPR/12),2)</f>
        <v>46.66</v>
      </c>
      <c r="O16" s="13">
        <f>ROUND(IF($M$16&lt;=0,0,MIN(PersonalLoanMinPayment,$M$16+$N$16)),2)</f>
        <v>174.0</v>
      </c>
      <c r="P16" s="13">
        <f>ROUND(IF($M$16&lt;=0,0,MIN(MAX(0,$M$16+$N$16-$O$16),MAX(0,$AD$16-$F$16-$K$16))),2)</f>
        <v>0.0</v>
      </c>
      <c r="Q16" s="13">
        <f>ROUND(MAX(0,$M$16+$N$16-$O$16-$P$16),2)</f>
        <v>4355.58</v>
      </c>
      <c r="R16" s="13">
        <f>$V$15</f>
        <v>7875.92</v>
      </c>
      <c r="S16" s="13">
        <f>ROUND(IF($R$16&lt;=0,0,$R$16*UsedAutoLoanAPR/12),2)</f>
        <v>40.95</v>
      </c>
      <c r="T16" s="13">
        <f>ROUND(IF($R$16&lt;=0,0,MIN(UsedAutoLoanMinPayment,$R$16+$S$16)),2)</f>
        <v>212.0</v>
      </c>
      <c r="U16" s="13">
        <f>ROUND(IF($R$16&lt;=0,0,MIN(MAX(0,$R$16+$S$16-$T$16),MAX(0,$AD$16-$F$16-$K$16-$P$16))),2)</f>
        <v>0.0</v>
      </c>
      <c r="V16" s="13">
        <f>ROUND(MAX(0,$R$16+$S$16-$T$16-$U$16),2)</f>
        <v>7704.87</v>
      </c>
      <c r="W16" s="13">
        <f>$AA$15</f>
        <v>605.0</v>
      </c>
      <c r="X16" s="13">
        <f>ROUND(IF($W$16&lt;=0,0,$W$16*MedicalPlanAPR/12),2)</f>
        <v>0.0</v>
      </c>
      <c r="Y16" s="13">
        <f>ROUND(IF($W$16&lt;=0,0,MIN(MedicalPlanMinPayment,$W$16+$X$16)),2)</f>
        <v>45.0</v>
      </c>
      <c r="Z16" s="13">
        <f>ROUND(IF($W$16&lt;=0,0,MIN(MAX(0,$W$16+$X$16-$Y$16),MAX(0,$AD$16-$F$16-$K$16-$P$16-$U$16))),2)</f>
        <v>0.0</v>
      </c>
      <c r="AA16" s="13">
        <f>ROUND(MAX(0,$W$16+$X$16-$Y$16-$Z$16),2)</f>
        <v>560.0</v>
      </c>
      <c r="AB16" s="13">
        <f>ROUND(EarlyWindfallBaseExtra+EarlyWindfallPermanentLift+IF(A16&lt;=EarlyWindfallTempMonths,EarlyWindfallTempBoost,0),2)</f>
        <v>190.0</v>
      </c>
      <c r="AC16" s="13">
        <f>IF(A16=EarlyWindfallWindfallMonth,EarlyWindfallWindfall,0)</f>
        <v>0.0</v>
      </c>
      <c r="AD16" s="13">
        <f>ROUND($AB$16+$AC$16+IF($G$15&lt;=0,StoreCardMinPayment,0)+IF($L$15&lt;=0,CreditUnionVisaMinPayment,0)+IF($Q$15&lt;=0,PersonalLoanMinPayment,0)+IF($V$15&lt;=0,UsedAutoLoanMinPayment,0)+IF($AA$15&lt;=0,MedicalPlanMinPayment,0),2)</f>
        <v>277.0</v>
      </c>
      <c r="AE16" s="18" t="str">
        <f>IF($F$16&gt;0,Inputs!A6,IF($K$16&gt;0,Inputs!A7,IF($P$16&gt;0,Inputs!A8,IF($U$16&gt;0,Inputs!A9,IF($Z$16&gt;0,Inputs!A5,"")))))</f>
        <v>Credit Union Visa</v>
      </c>
      <c r="AF16" s="13">
        <f>ROUND(SUM($D$16,$I$16,$N$16,$S$16,$X$16),2)</f>
        <v>173.63</v>
      </c>
      <c r="AG16" s="13">
        <f>ROUND(SUM($G$16,$L$16,$Q$16,$V$16,$AA$16),2)</f>
        <v>16368.11</v>
      </c>
    </row>
    <row r="17" spans="1:33">
      <c r="A17" s="17">
        <f>ROW()-3</f>
        <v>13</v>
      </c>
      <c r="B17" s="18" t="str">
        <f>TEXT(EDATE(StartDate,A17-1),"mmm yyyy")</f>
        <v>Apr 2027</v>
      </c>
      <c r="C17" s="13">
        <f>$G$16</f>
        <v>0.0</v>
      </c>
      <c r="D17" s="13">
        <f>ROUND(IF($C$17&lt;=0,0,$C$17*StoreCardAPR/12),2)</f>
        <v>0.0</v>
      </c>
      <c r="E17" s="13">
        <f>ROUND(IF($C$17&lt;=0,0,MIN(StoreCardMinPayment,$C$17+$D$17)),2)</f>
        <v>0.0</v>
      </c>
      <c r="F17" s="13">
        <f>ROUND(IF($C$17&lt;=0,0,MIN(MAX(0,$C$17+$D$17-$E$17),MAX(0,$AD$17))),2)</f>
        <v>0.0</v>
      </c>
      <c r="G17" s="13">
        <f>ROUND(MAX(0,$C$17+$D$17-$E$17-$F$17),2)</f>
        <v>0.0</v>
      </c>
      <c r="H17" s="13">
        <f>$L$16</f>
        <v>3747.66</v>
      </c>
      <c r="I17" s="13">
        <f>ROUND(IF($H$17&lt;=0,0,$H$17*CreditUnionVisaAPR/12),2)</f>
        <v>78.05</v>
      </c>
      <c r="J17" s="13">
        <f>ROUND(IF($H$17&lt;=0,0,MIN(CreditUnionVisaMinPayment,$H$17+$I$17)),2)</f>
        <v>192.0</v>
      </c>
      <c r="K17" s="13">
        <f>ROUND(IF($H$17&lt;=0,0,MIN(MAX(0,$H$17+$I$17-$J$17),MAX(0,$AD$17-$F$17))),2)</f>
        <v>277.0</v>
      </c>
      <c r="L17" s="13">
        <f>ROUND(MAX(0,$H$17+$I$17-$J$17-$K$17),2)</f>
        <v>3356.71</v>
      </c>
      <c r="M17" s="13">
        <f>$Q$16</f>
        <v>4355.58</v>
      </c>
      <c r="N17" s="13">
        <f>ROUND(IF($M$17&lt;=0,0,$M$17*PersonalLoanAPR/12),2)</f>
        <v>45.33</v>
      </c>
      <c r="O17" s="13">
        <f>ROUND(IF($M$17&lt;=0,0,MIN(PersonalLoanMinPayment,$M$17+$N$17)),2)</f>
        <v>174.0</v>
      </c>
      <c r="P17" s="13">
        <f>ROUND(IF($M$17&lt;=0,0,MIN(MAX(0,$M$17+$N$17-$O$17),MAX(0,$AD$17-$F$17-$K$17))),2)</f>
        <v>0.0</v>
      </c>
      <c r="Q17" s="13">
        <f>ROUND(MAX(0,$M$17+$N$17-$O$17-$P$17),2)</f>
        <v>4226.91</v>
      </c>
      <c r="R17" s="13">
        <f>$V$16</f>
        <v>7704.87</v>
      </c>
      <c r="S17" s="13">
        <f>ROUND(IF($R$17&lt;=0,0,$R$17*UsedAutoLoanAPR/12),2)</f>
        <v>40.07</v>
      </c>
      <c r="T17" s="13">
        <f>ROUND(IF($R$17&lt;=0,0,MIN(UsedAutoLoanMinPayment,$R$17+$S$17)),2)</f>
        <v>212.0</v>
      </c>
      <c r="U17" s="13">
        <f>ROUND(IF($R$17&lt;=0,0,MIN(MAX(0,$R$17+$S$17-$T$17),MAX(0,$AD$17-$F$17-$K$17-$P$17))),2)</f>
        <v>0.0</v>
      </c>
      <c r="V17" s="13">
        <f>ROUND(MAX(0,$R$17+$S$17-$T$17-$U$17),2)</f>
        <v>7532.94</v>
      </c>
      <c r="W17" s="13">
        <f>$AA$16</f>
        <v>560.0</v>
      </c>
      <c r="X17" s="13">
        <f>ROUND(IF($W$17&lt;=0,0,$W$17*MedicalPlanAPR/12),2)</f>
        <v>0.0</v>
      </c>
      <c r="Y17" s="13">
        <f>ROUND(IF($W$17&lt;=0,0,MIN(MedicalPlanMinPayment,$W$17+$X$17)),2)</f>
        <v>45.0</v>
      </c>
      <c r="Z17" s="13">
        <f>ROUND(IF($W$17&lt;=0,0,MIN(MAX(0,$W$17+$X$17-$Y$17),MAX(0,$AD$17-$F$17-$K$17-$P$17-$U$17))),2)</f>
        <v>0.0</v>
      </c>
      <c r="AA17" s="13">
        <f>ROUND(MAX(0,$W$17+$X$17-$Y$17-$Z$17),2)</f>
        <v>515.0</v>
      </c>
      <c r="AB17" s="13">
        <f>ROUND(EarlyWindfallBaseExtra+EarlyWindfallPermanentLift+IF(A17&lt;=EarlyWindfallTempMonths,EarlyWindfallTempBoost,0),2)</f>
        <v>190.0</v>
      </c>
      <c r="AC17" s="13">
        <f>IF(A17=EarlyWindfallWindfallMonth,EarlyWindfallWindfall,0)</f>
        <v>0.0</v>
      </c>
      <c r="AD17" s="13">
        <f>ROUND($AB$17+$AC$17+IF($G$16&lt;=0,StoreCardMinPayment,0)+IF($L$16&lt;=0,CreditUnionVisaMinPayment,0)+IF($Q$16&lt;=0,PersonalLoanMinPayment,0)+IF($V$16&lt;=0,UsedAutoLoanMinPayment,0)+IF($AA$16&lt;=0,MedicalPlanMinPayment,0),2)</f>
        <v>277.0</v>
      </c>
      <c r="AE17" s="18" t="str">
        <f>IF($F$17&gt;0,Inputs!A6,IF($K$17&gt;0,Inputs!A7,IF($P$17&gt;0,Inputs!A8,IF($U$17&gt;0,Inputs!A9,IF($Z$17&gt;0,Inputs!A5,"")))))</f>
        <v>Credit Union Visa</v>
      </c>
      <c r="AF17" s="13">
        <f>ROUND(SUM($D$17,$I$17,$N$17,$S$17,$X$17),2)</f>
        <v>163.45</v>
      </c>
      <c r="AG17" s="13">
        <f>ROUND(SUM($G$17,$L$17,$Q$17,$V$17,$AA$17),2)</f>
        <v>15631.56</v>
      </c>
    </row>
    <row r="18" spans="1:33">
      <c r="A18" s="17">
        <f>ROW()-3</f>
        <v>14</v>
      </c>
      <c r="B18" s="18" t="str">
        <f>TEXT(EDATE(StartDate,A18-1),"mmm yyyy")</f>
        <v>May 2027</v>
      </c>
      <c r="C18" s="13">
        <f>$G$17</f>
        <v>0.0</v>
      </c>
      <c r="D18" s="13">
        <f>ROUND(IF($C$18&lt;=0,0,$C$18*StoreCardAPR/12),2)</f>
        <v>0.0</v>
      </c>
      <c r="E18" s="13">
        <f>ROUND(IF($C$18&lt;=0,0,MIN(StoreCardMinPayment,$C$18+$D$18)),2)</f>
        <v>0.0</v>
      </c>
      <c r="F18" s="13">
        <f>ROUND(IF($C$18&lt;=0,0,MIN(MAX(0,$C$18+$D$18-$E$18),MAX(0,$AD$18))),2)</f>
        <v>0.0</v>
      </c>
      <c r="G18" s="13">
        <f>ROUND(MAX(0,$C$18+$D$18-$E$18-$F$18),2)</f>
        <v>0.0</v>
      </c>
      <c r="H18" s="13">
        <f>$L$17</f>
        <v>3356.71</v>
      </c>
      <c r="I18" s="13">
        <f>ROUND(IF($H$18&lt;=0,0,$H$18*CreditUnionVisaAPR/12),2)</f>
        <v>69.9</v>
      </c>
      <c r="J18" s="13">
        <f>ROUND(IF($H$18&lt;=0,0,MIN(CreditUnionVisaMinPayment,$H$18+$I$18)),2)</f>
        <v>192.0</v>
      </c>
      <c r="K18" s="13">
        <f>ROUND(IF($H$18&lt;=0,0,MIN(MAX(0,$H$18+$I$18-$J$18),MAX(0,$AD$18-$F$18))),2)</f>
        <v>277.0</v>
      </c>
      <c r="L18" s="13">
        <f>ROUND(MAX(0,$H$18+$I$18-$J$18-$K$18),2)</f>
        <v>2957.61</v>
      </c>
      <c r="M18" s="13">
        <f>$Q$17</f>
        <v>4226.91</v>
      </c>
      <c r="N18" s="13">
        <f>ROUND(IF($M$18&lt;=0,0,$M$18*PersonalLoanAPR/12),2)</f>
        <v>44.0</v>
      </c>
      <c r="O18" s="13">
        <f>ROUND(IF($M$18&lt;=0,0,MIN(PersonalLoanMinPayment,$M$18+$N$18)),2)</f>
        <v>174.0</v>
      </c>
      <c r="P18" s="13">
        <f>ROUND(IF($M$18&lt;=0,0,MIN(MAX(0,$M$18+$N$18-$O$18),MAX(0,$AD$18-$F$18-$K$18))),2)</f>
        <v>0.0</v>
      </c>
      <c r="Q18" s="13">
        <f>ROUND(MAX(0,$M$18+$N$18-$O$18-$P$18),2)</f>
        <v>4096.91</v>
      </c>
      <c r="R18" s="13">
        <f>$V$17</f>
        <v>7532.94</v>
      </c>
      <c r="S18" s="13">
        <f>ROUND(IF($R$18&lt;=0,0,$R$18*UsedAutoLoanAPR/12),2)</f>
        <v>39.17</v>
      </c>
      <c r="T18" s="13">
        <f>ROUND(IF($R$18&lt;=0,0,MIN(UsedAutoLoanMinPayment,$R$18+$S$18)),2)</f>
        <v>212.0</v>
      </c>
      <c r="U18" s="13">
        <f>ROUND(IF($R$18&lt;=0,0,MIN(MAX(0,$R$18+$S$18-$T$18),MAX(0,$AD$18-$F$18-$K$18-$P$18))),2)</f>
        <v>0.0</v>
      </c>
      <c r="V18" s="13">
        <f>ROUND(MAX(0,$R$18+$S$18-$T$18-$U$18),2)</f>
        <v>7360.11</v>
      </c>
      <c r="W18" s="13">
        <f>$AA$17</f>
        <v>515.0</v>
      </c>
      <c r="X18" s="13">
        <f>ROUND(IF($W$18&lt;=0,0,$W$18*MedicalPlanAPR/12),2)</f>
        <v>0.0</v>
      </c>
      <c r="Y18" s="13">
        <f>ROUND(IF($W$18&lt;=0,0,MIN(MedicalPlanMinPayment,$W$18+$X$18)),2)</f>
        <v>45.0</v>
      </c>
      <c r="Z18" s="13">
        <f>ROUND(IF($W$18&lt;=0,0,MIN(MAX(0,$W$18+$X$18-$Y$18),MAX(0,$AD$18-$F$18-$K$18-$P$18-$U$18))),2)</f>
        <v>0.0</v>
      </c>
      <c r="AA18" s="13">
        <f>ROUND(MAX(0,$W$18+$X$18-$Y$18-$Z$18),2)</f>
        <v>470.0</v>
      </c>
      <c r="AB18" s="13">
        <f>ROUND(EarlyWindfallBaseExtra+EarlyWindfallPermanentLift+IF(A18&lt;=EarlyWindfallTempMonths,EarlyWindfallTempBoost,0),2)</f>
        <v>190.0</v>
      </c>
      <c r="AC18" s="13">
        <f>IF(A18=EarlyWindfallWindfallMonth,EarlyWindfallWindfall,0)</f>
        <v>0.0</v>
      </c>
      <c r="AD18" s="13">
        <f>ROUND($AB$18+$AC$18+IF($G$17&lt;=0,StoreCardMinPayment,0)+IF($L$17&lt;=0,CreditUnionVisaMinPayment,0)+IF($Q$17&lt;=0,PersonalLoanMinPayment,0)+IF($V$17&lt;=0,UsedAutoLoanMinPayment,0)+IF($AA$17&lt;=0,MedicalPlanMinPayment,0),2)</f>
        <v>277.0</v>
      </c>
      <c r="AE18" s="18" t="str">
        <f>IF($F$18&gt;0,Inputs!A6,IF($K$18&gt;0,Inputs!A7,IF($P$18&gt;0,Inputs!A8,IF($U$18&gt;0,Inputs!A9,IF($Z$18&gt;0,Inputs!A5,"")))))</f>
        <v>Credit Union Visa</v>
      </c>
      <c r="AF18" s="13">
        <f>ROUND(SUM($D$18,$I$18,$N$18,$S$18,$X$18),2)</f>
        <v>153.07</v>
      </c>
      <c r="AG18" s="13">
        <f>ROUND(SUM($G$18,$L$18,$Q$18,$V$18,$AA$18),2)</f>
        <v>14884.63</v>
      </c>
    </row>
    <row r="19" spans="1:33">
      <c r="A19" s="17">
        <f>ROW()-3</f>
        <v>15</v>
      </c>
      <c r="B19" s="18" t="str">
        <f>TEXT(EDATE(StartDate,A19-1),"mmm yyyy")</f>
        <v>Jun 2027</v>
      </c>
      <c r="C19" s="13">
        <f>$G$18</f>
        <v>0.0</v>
      </c>
      <c r="D19" s="13">
        <f>ROUND(IF($C$19&lt;=0,0,$C$19*StoreCardAPR/12),2)</f>
        <v>0.0</v>
      </c>
      <c r="E19" s="13">
        <f>ROUND(IF($C$19&lt;=0,0,MIN(StoreCardMinPayment,$C$19+$D$19)),2)</f>
        <v>0.0</v>
      </c>
      <c r="F19" s="13">
        <f>ROUND(IF($C$19&lt;=0,0,MIN(MAX(0,$C$19+$D$19-$E$19),MAX(0,$AD$19))),2)</f>
        <v>0.0</v>
      </c>
      <c r="G19" s="13">
        <f>ROUND(MAX(0,$C$19+$D$19-$E$19-$F$19),2)</f>
        <v>0.0</v>
      </c>
      <c r="H19" s="13">
        <f>$L$18</f>
        <v>2957.61</v>
      </c>
      <c r="I19" s="13">
        <f>ROUND(IF($H$19&lt;=0,0,$H$19*CreditUnionVisaAPR/12),2)</f>
        <v>61.59</v>
      </c>
      <c r="J19" s="13">
        <f>ROUND(IF($H$19&lt;=0,0,MIN(CreditUnionVisaMinPayment,$H$19+$I$19)),2)</f>
        <v>192.0</v>
      </c>
      <c r="K19" s="13">
        <f>ROUND(IF($H$19&lt;=0,0,MIN(MAX(0,$H$19+$I$19-$J$19),MAX(0,$AD$19-$F$19))),2)</f>
        <v>277.0</v>
      </c>
      <c r="L19" s="13">
        <f>ROUND(MAX(0,$H$19+$I$19-$J$19-$K$19),2)</f>
        <v>2550.2</v>
      </c>
      <c r="M19" s="13">
        <f>$Q$18</f>
        <v>4096.91</v>
      </c>
      <c r="N19" s="13">
        <f>ROUND(IF($M$19&lt;=0,0,$M$19*PersonalLoanAPR/12),2)</f>
        <v>42.64</v>
      </c>
      <c r="O19" s="13">
        <f>ROUND(IF($M$19&lt;=0,0,MIN(PersonalLoanMinPayment,$M$19+$N$19)),2)</f>
        <v>174.0</v>
      </c>
      <c r="P19" s="13">
        <f>ROUND(IF($M$19&lt;=0,0,MIN(MAX(0,$M$19+$N$19-$O$19),MAX(0,$AD$19-$F$19-$K$19))),2)</f>
        <v>0.0</v>
      </c>
      <c r="Q19" s="13">
        <f>ROUND(MAX(0,$M$19+$N$19-$O$19-$P$19),2)</f>
        <v>3965.55</v>
      </c>
      <c r="R19" s="13">
        <f>$V$18</f>
        <v>7360.11</v>
      </c>
      <c r="S19" s="13">
        <f>ROUND(IF($R$19&lt;=0,0,$R$19*UsedAutoLoanAPR/12),2)</f>
        <v>38.27</v>
      </c>
      <c r="T19" s="13">
        <f>ROUND(IF($R$19&lt;=0,0,MIN(UsedAutoLoanMinPayment,$R$19+$S$19)),2)</f>
        <v>212.0</v>
      </c>
      <c r="U19" s="13">
        <f>ROUND(IF($R$19&lt;=0,0,MIN(MAX(0,$R$19+$S$19-$T$19),MAX(0,$AD$19-$F$19-$K$19-$P$19))),2)</f>
        <v>0.0</v>
      </c>
      <c r="V19" s="13">
        <f>ROUND(MAX(0,$R$19+$S$19-$T$19-$U$19),2)</f>
        <v>7186.38</v>
      </c>
      <c r="W19" s="13">
        <f>$AA$18</f>
        <v>470.0</v>
      </c>
      <c r="X19" s="13">
        <f>ROUND(IF($W$19&lt;=0,0,$W$19*MedicalPlanAPR/12),2)</f>
        <v>0.0</v>
      </c>
      <c r="Y19" s="13">
        <f>ROUND(IF($W$19&lt;=0,0,MIN(MedicalPlanMinPayment,$W$19+$X$19)),2)</f>
        <v>45.0</v>
      </c>
      <c r="Z19" s="13">
        <f>ROUND(IF($W$19&lt;=0,0,MIN(MAX(0,$W$19+$X$19-$Y$19),MAX(0,$AD$19-$F$19-$K$19-$P$19-$U$19))),2)</f>
        <v>0.0</v>
      </c>
      <c r="AA19" s="13">
        <f>ROUND(MAX(0,$W$19+$X$19-$Y$19-$Z$19),2)</f>
        <v>425.0</v>
      </c>
      <c r="AB19" s="13">
        <f>ROUND(EarlyWindfallBaseExtra+EarlyWindfallPermanentLift+IF(A19&lt;=EarlyWindfallTempMonths,EarlyWindfallTempBoost,0),2)</f>
        <v>190.0</v>
      </c>
      <c r="AC19" s="13">
        <f>IF(A19=EarlyWindfallWindfallMonth,EarlyWindfallWindfall,0)</f>
        <v>0.0</v>
      </c>
      <c r="AD19" s="13">
        <f>ROUND($AB$19+$AC$19+IF($G$18&lt;=0,StoreCardMinPayment,0)+IF($L$18&lt;=0,CreditUnionVisaMinPayment,0)+IF($Q$18&lt;=0,PersonalLoanMinPayment,0)+IF($V$18&lt;=0,UsedAutoLoanMinPayment,0)+IF($AA$18&lt;=0,MedicalPlanMinPayment,0),2)</f>
        <v>277.0</v>
      </c>
      <c r="AE19" s="18" t="str">
        <f>IF($F$19&gt;0,Inputs!A6,IF($K$19&gt;0,Inputs!A7,IF($P$19&gt;0,Inputs!A8,IF($U$19&gt;0,Inputs!A9,IF($Z$19&gt;0,Inputs!A5,"")))))</f>
        <v>Credit Union Visa</v>
      </c>
      <c r="AF19" s="13">
        <f>ROUND(SUM($D$19,$I$19,$N$19,$S$19,$X$19),2)</f>
        <v>142.5</v>
      </c>
      <c r="AG19" s="13">
        <f>ROUND(SUM($G$19,$L$19,$Q$19,$V$19,$AA$19),2)</f>
        <v>14127.13</v>
      </c>
    </row>
    <row r="20" spans="1:33">
      <c r="A20" s="17">
        <f>ROW()-3</f>
        <v>16</v>
      </c>
      <c r="B20" s="18" t="str">
        <f>TEXT(EDATE(StartDate,A20-1),"mmm yyyy")</f>
        <v>Jul 2027</v>
      </c>
      <c r="C20" s="13">
        <f>$G$19</f>
        <v>0.0</v>
      </c>
      <c r="D20" s="13">
        <f>ROUND(IF($C$20&lt;=0,0,$C$20*StoreCardAPR/12),2)</f>
        <v>0.0</v>
      </c>
      <c r="E20" s="13">
        <f>ROUND(IF($C$20&lt;=0,0,MIN(StoreCardMinPayment,$C$20+$D$20)),2)</f>
        <v>0.0</v>
      </c>
      <c r="F20" s="13">
        <f>ROUND(IF($C$20&lt;=0,0,MIN(MAX(0,$C$20+$D$20-$E$20),MAX(0,$AD$20))),2)</f>
        <v>0.0</v>
      </c>
      <c r="G20" s="13">
        <f>ROUND(MAX(0,$C$20+$D$20-$E$20-$F$20),2)</f>
        <v>0.0</v>
      </c>
      <c r="H20" s="13">
        <f>$L$19</f>
        <v>2550.2</v>
      </c>
      <c r="I20" s="13">
        <f>ROUND(IF($H$20&lt;=0,0,$H$20*CreditUnionVisaAPR/12),2)</f>
        <v>53.11</v>
      </c>
      <c r="J20" s="13">
        <f>ROUND(IF($H$20&lt;=0,0,MIN(CreditUnionVisaMinPayment,$H$20+$I$20)),2)</f>
        <v>192.0</v>
      </c>
      <c r="K20" s="13">
        <f>ROUND(IF($H$20&lt;=0,0,MIN(MAX(0,$H$20+$I$20-$J$20),MAX(0,$AD$20-$F$20))),2)</f>
        <v>277.0</v>
      </c>
      <c r="L20" s="13">
        <f>ROUND(MAX(0,$H$20+$I$20-$J$20-$K$20),2)</f>
        <v>2134.31</v>
      </c>
      <c r="M20" s="13">
        <f>$Q$19</f>
        <v>3965.55</v>
      </c>
      <c r="N20" s="13">
        <f>ROUND(IF($M$20&lt;=0,0,$M$20*PersonalLoanAPR/12),2)</f>
        <v>41.27</v>
      </c>
      <c r="O20" s="13">
        <f>ROUND(IF($M$20&lt;=0,0,MIN(PersonalLoanMinPayment,$M$20+$N$20)),2)</f>
        <v>174.0</v>
      </c>
      <c r="P20" s="13">
        <f>ROUND(IF($M$20&lt;=0,0,MIN(MAX(0,$M$20+$N$20-$O$20),MAX(0,$AD$20-$F$20-$K$20))),2)</f>
        <v>0.0</v>
      </c>
      <c r="Q20" s="13">
        <f>ROUND(MAX(0,$M$20+$N$20-$O$20-$P$20),2)</f>
        <v>3832.82</v>
      </c>
      <c r="R20" s="13">
        <f>$V$19</f>
        <v>7186.38</v>
      </c>
      <c r="S20" s="13">
        <f>ROUND(IF($R$20&lt;=0,0,$R$20*UsedAutoLoanAPR/12),2)</f>
        <v>37.37</v>
      </c>
      <c r="T20" s="13">
        <f>ROUND(IF($R$20&lt;=0,0,MIN(UsedAutoLoanMinPayment,$R$20+$S$20)),2)</f>
        <v>212.0</v>
      </c>
      <c r="U20" s="13">
        <f>ROUND(IF($R$20&lt;=0,0,MIN(MAX(0,$R$20+$S$20-$T$20),MAX(0,$AD$20-$F$20-$K$20-$P$20))),2)</f>
        <v>0.0</v>
      </c>
      <c r="V20" s="13">
        <f>ROUND(MAX(0,$R$20+$S$20-$T$20-$U$20),2)</f>
        <v>7011.75</v>
      </c>
      <c r="W20" s="13">
        <f>$AA$19</f>
        <v>425.0</v>
      </c>
      <c r="X20" s="13">
        <f>ROUND(IF($W$20&lt;=0,0,$W$20*MedicalPlanAPR/12),2)</f>
        <v>0.0</v>
      </c>
      <c r="Y20" s="13">
        <f>ROUND(IF($W$20&lt;=0,0,MIN(MedicalPlanMinPayment,$W$20+$X$20)),2)</f>
        <v>45.0</v>
      </c>
      <c r="Z20" s="13">
        <f>ROUND(IF($W$20&lt;=0,0,MIN(MAX(0,$W$20+$X$20-$Y$20),MAX(0,$AD$20-$F$20-$K$20-$P$20-$U$20))),2)</f>
        <v>0.0</v>
      </c>
      <c r="AA20" s="13">
        <f>ROUND(MAX(0,$W$20+$X$20-$Y$20-$Z$20),2)</f>
        <v>380.0</v>
      </c>
      <c r="AB20" s="13">
        <f>ROUND(EarlyWindfallBaseExtra+EarlyWindfallPermanentLift+IF(A20&lt;=EarlyWindfallTempMonths,EarlyWindfallTempBoost,0),2)</f>
        <v>190.0</v>
      </c>
      <c r="AC20" s="13">
        <f>IF(A20=EarlyWindfallWindfallMonth,EarlyWindfallWindfall,0)</f>
        <v>0.0</v>
      </c>
      <c r="AD20" s="13">
        <f>ROUND($AB$20+$AC$20+IF($G$19&lt;=0,StoreCardMinPayment,0)+IF($L$19&lt;=0,CreditUnionVisaMinPayment,0)+IF($Q$19&lt;=0,PersonalLoanMinPayment,0)+IF($V$19&lt;=0,UsedAutoLoanMinPayment,0)+IF($AA$19&lt;=0,MedicalPlanMinPayment,0),2)</f>
        <v>277.0</v>
      </c>
      <c r="AE20" s="18" t="str">
        <f>IF($F$20&gt;0,Inputs!A6,IF($K$20&gt;0,Inputs!A7,IF($P$20&gt;0,Inputs!A8,IF($U$20&gt;0,Inputs!A9,IF($Z$20&gt;0,Inputs!A5,"")))))</f>
        <v>Credit Union Visa</v>
      </c>
      <c r="AF20" s="13">
        <f>ROUND(SUM($D$20,$I$20,$N$20,$S$20,$X$20),2)</f>
        <v>131.75</v>
      </c>
      <c r="AG20" s="13">
        <f>ROUND(SUM($G$20,$L$20,$Q$20,$V$20,$AA$20),2)</f>
        <v>13358.88</v>
      </c>
    </row>
    <row r="21" spans="1:33">
      <c r="A21" s="17">
        <f>ROW()-3</f>
        <v>17</v>
      </c>
      <c r="B21" s="18" t="str">
        <f>TEXT(EDATE(StartDate,A21-1),"mmm yyyy")</f>
        <v>Aug 2027</v>
      </c>
      <c r="C21" s="13">
        <f>$G$20</f>
        <v>0.0</v>
      </c>
      <c r="D21" s="13">
        <f>ROUND(IF($C$21&lt;=0,0,$C$21*StoreCardAPR/12),2)</f>
        <v>0.0</v>
      </c>
      <c r="E21" s="13">
        <f>ROUND(IF($C$21&lt;=0,0,MIN(StoreCardMinPayment,$C$21+$D$21)),2)</f>
        <v>0.0</v>
      </c>
      <c r="F21" s="13">
        <f>ROUND(IF($C$21&lt;=0,0,MIN(MAX(0,$C$21+$D$21-$E$21),MAX(0,$AD$21))),2)</f>
        <v>0.0</v>
      </c>
      <c r="G21" s="13">
        <f>ROUND(MAX(0,$C$21+$D$21-$E$21-$F$21),2)</f>
        <v>0.0</v>
      </c>
      <c r="H21" s="13">
        <f>$L$20</f>
        <v>2134.31</v>
      </c>
      <c r="I21" s="13">
        <f>ROUND(IF($H$21&lt;=0,0,$H$21*CreditUnionVisaAPR/12),2)</f>
        <v>44.45</v>
      </c>
      <c r="J21" s="13">
        <f>ROUND(IF($H$21&lt;=0,0,MIN(CreditUnionVisaMinPayment,$H$21+$I$21)),2)</f>
        <v>192.0</v>
      </c>
      <c r="K21" s="13">
        <f>ROUND(IF($H$21&lt;=0,0,MIN(MAX(0,$H$21+$I$21-$J$21),MAX(0,$AD$21-$F$21))),2)</f>
        <v>277.0</v>
      </c>
      <c r="L21" s="13">
        <f>ROUND(MAX(0,$H$21+$I$21-$J$21-$K$21),2)</f>
        <v>1709.76</v>
      </c>
      <c r="M21" s="13">
        <f>$Q$20</f>
        <v>3832.82</v>
      </c>
      <c r="N21" s="13">
        <f>ROUND(IF($M$21&lt;=0,0,$M$21*PersonalLoanAPR/12),2)</f>
        <v>39.89</v>
      </c>
      <c r="O21" s="13">
        <f>ROUND(IF($M$21&lt;=0,0,MIN(PersonalLoanMinPayment,$M$21+$N$21)),2)</f>
        <v>174.0</v>
      </c>
      <c r="P21" s="13">
        <f>ROUND(IF($M$21&lt;=0,0,MIN(MAX(0,$M$21+$N$21-$O$21),MAX(0,$AD$21-$F$21-$K$21))),2)</f>
        <v>0.0</v>
      </c>
      <c r="Q21" s="13">
        <f>ROUND(MAX(0,$M$21+$N$21-$O$21-$P$21),2)</f>
        <v>3698.71</v>
      </c>
      <c r="R21" s="13">
        <f>$V$20</f>
        <v>7011.75</v>
      </c>
      <c r="S21" s="13">
        <f>ROUND(IF($R$21&lt;=0,0,$R$21*UsedAutoLoanAPR/12),2)</f>
        <v>36.46</v>
      </c>
      <c r="T21" s="13">
        <f>ROUND(IF($R$21&lt;=0,0,MIN(UsedAutoLoanMinPayment,$R$21+$S$21)),2)</f>
        <v>212.0</v>
      </c>
      <c r="U21" s="13">
        <f>ROUND(IF($R$21&lt;=0,0,MIN(MAX(0,$R$21+$S$21-$T$21),MAX(0,$AD$21-$F$21-$K$21-$P$21))),2)</f>
        <v>0.0</v>
      </c>
      <c r="V21" s="13">
        <f>ROUND(MAX(0,$R$21+$S$21-$T$21-$U$21),2)</f>
        <v>6836.21</v>
      </c>
      <c r="W21" s="13">
        <f>$AA$20</f>
        <v>380.0</v>
      </c>
      <c r="X21" s="13">
        <f>ROUND(IF($W$21&lt;=0,0,$W$21*MedicalPlanAPR/12),2)</f>
        <v>0.0</v>
      </c>
      <c r="Y21" s="13">
        <f>ROUND(IF($W$21&lt;=0,0,MIN(MedicalPlanMinPayment,$W$21+$X$21)),2)</f>
        <v>45.0</v>
      </c>
      <c r="Z21" s="13">
        <f>ROUND(IF($W$21&lt;=0,0,MIN(MAX(0,$W$21+$X$21-$Y$21),MAX(0,$AD$21-$F$21-$K$21-$P$21-$U$21))),2)</f>
        <v>0.0</v>
      </c>
      <c r="AA21" s="13">
        <f>ROUND(MAX(0,$W$21+$X$21-$Y$21-$Z$21),2)</f>
        <v>335.0</v>
      </c>
      <c r="AB21" s="13">
        <f>ROUND(EarlyWindfallBaseExtra+EarlyWindfallPermanentLift+IF(A21&lt;=EarlyWindfallTempMonths,EarlyWindfallTempBoost,0),2)</f>
        <v>190.0</v>
      </c>
      <c r="AC21" s="13">
        <f>IF(A21=EarlyWindfallWindfallMonth,EarlyWindfallWindfall,0)</f>
        <v>0.0</v>
      </c>
      <c r="AD21" s="13">
        <f>ROUND($AB$21+$AC$21+IF($G$20&lt;=0,StoreCardMinPayment,0)+IF($L$20&lt;=0,CreditUnionVisaMinPayment,0)+IF($Q$20&lt;=0,PersonalLoanMinPayment,0)+IF($V$20&lt;=0,UsedAutoLoanMinPayment,0)+IF($AA$20&lt;=0,MedicalPlanMinPayment,0),2)</f>
        <v>277.0</v>
      </c>
      <c r="AE21" s="18" t="str">
        <f>IF($F$21&gt;0,Inputs!A6,IF($K$21&gt;0,Inputs!A7,IF($P$21&gt;0,Inputs!A8,IF($U$21&gt;0,Inputs!A9,IF($Z$21&gt;0,Inputs!A5,"")))))</f>
        <v>Credit Union Visa</v>
      </c>
      <c r="AF21" s="13">
        <f>ROUND(SUM($D$21,$I$21,$N$21,$S$21,$X$21),2)</f>
        <v>120.8</v>
      </c>
      <c r="AG21" s="13">
        <f>ROUND(SUM($G$21,$L$21,$Q$21,$V$21,$AA$21),2)</f>
        <v>12579.68</v>
      </c>
    </row>
    <row r="22" spans="1:33">
      <c r="A22" s="17">
        <f>ROW()-3</f>
        <v>18</v>
      </c>
      <c r="B22" s="18" t="str">
        <f>TEXT(EDATE(StartDate,A22-1),"mmm yyyy")</f>
        <v>Sep 2027</v>
      </c>
      <c r="C22" s="13">
        <f>$G$21</f>
        <v>0.0</v>
      </c>
      <c r="D22" s="13">
        <f>ROUND(IF($C$22&lt;=0,0,$C$22*StoreCardAPR/12),2)</f>
        <v>0.0</v>
      </c>
      <c r="E22" s="13">
        <f>ROUND(IF($C$22&lt;=0,0,MIN(StoreCardMinPayment,$C$22+$D$22)),2)</f>
        <v>0.0</v>
      </c>
      <c r="F22" s="13">
        <f>ROUND(IF($C$22&lt;=0,0,MIN(MAX(0,$C$22+$D$22-$E$22),MAX(0,$AD$22))),2)</f>
        <v>0.0</v>
      </c>
      <c r="G22" s="13">
        <f>ROUND(MAX(0,$C$22+$D$22-$E$22-$F$22),2)</f>
        <v>0.0</v>
      </c>
      <c r="H22" s="13">
        <f>$L$21</f>
        <v>1709.76</v>
      </c>
      <c r="I22" s="13">
        <f>ROUND(IF($H$22&lt;=0,0,$H$22*CreditUnionVisaAPR/12),2)</f>
        <v>35.61</v>
      </c>
      <c r="J22" s="13">
        <f>ROUND(IF($H$22&lt;=0,0,MIN(CreditUnionVisaMinPayment,$H$22+$I$22)),2)</f>
        <v>192.0</v>
      </c>
      <c r="K22" s="13">
        <f>ROUND(IF($H$22&lt;=0,0,MIN(MAX(0,$H$22+$I$22-$J$22),MAX(0,$AD$22-$F$22))),2)</f>
        <v>277.0</v>
      </c>
      <c r="L22" s="13">
        <f>ROUND(MAX(0,$H$22+$I$22-$J$22-$K$22),2)</f>
        <v>1276.37</v>
      </c>
      <c r="M22" s="13">
        <f>$Q$21</f>
        <v>3698.71</v>
      </c>
      <c r="N22" s="13">
        <f>ROUND(IF($M$22&lt;=0,0,$M$22*PersonalLoanAPR/12),2)</f>
        <v>38.5</v>
      </c>
      <c r="O22" s="13">
        <f>ROUND(IF($M$22&lt;=0,0,MIN(PersonalLoanMinPayment,$M$22+$N$22)),2)</f>
        <v>174.0</v>
      </c>
      <c r="P22" s="13">
        <f>ROUND(IF($M$22&lt;=0,0,MIN(MAX(0,$M$22+$N$22-$O$22),MAX(0,$AD$22-$F$22-$K$22))),2)</f>
        <v>0.0</v>
      </c>
      <c r="Q22" s="13">
        <f>ROUND(MAX(0,$M$22+$N$22-$O$22-$P$22),2)</f>
        <v>3563.21</v>
      </c>
      <c r="R22" s="13">
        <f>$V$21</f>
        <v>6836.21</v>
      </c>
      <c r="S22" s="13">
        <f>ROUND(IF($R$22&lt;=0,0,$R$22*UsedAutoLoanAPR/12),2)</f>
        <v>35.55</v>
      </c>
      <c r="T22" s="13">
        <f>ROUND(IF($R$22&lt;=0,0,MIN(UsedAutoLoanMinPayment,$R$22+$S$22)),2)</f>
        <v>212.0</v>
      </c>
      <c r="U22" s="13">
        <f>ROUND(IF($R$22&lt;=0,0,MIN(MAX(0,$R$22+$S$22-$T$22),MAX(0,$AD$22-$F$22-$K$22-$P$22))),2)</f>
        <v>0.0</v>
      </c>
      <c r="V22" s="13">
        <f>ROUND(MAX(0,$R$22+$S$22-$T$22-$U$22),2)</f>
        <v>6659.76</v>
      </c>
      <c r="W22" s="13">
        <f>$AA$21</f>
        <v>335.0</v>
      </c>
      <c r="X22" s="13">
        <f>ROUND(IF($W$22&lt;=0,0,$W$22*MedicalPlanAPR/12),2)</f>
        <v>0.0</v>
      </c>
      <c r="Y22" s="13">
        <f>ROUND(IF($W$22&lt;=0,0,MIN(MedicalPlanMinPayment,$W$22+$X$22)),2)</f>
        <v>45.0</v>
      </c>
      <c r="Z22" s="13">
        <f>ROUND(IF($W$22&lt;=0,0,MIN(MAX(0,$W$22+$X$22-$Y$22),MAX(0,$AD$22-$F$22-$K$22-$P$22-$U$22))),2)</f>
        <v>0.0</v>
      </c>
      <c r="AA22" s="13">
        <f>ROUND(MAX(0,$W$22+$X$22-$Y$22-$Z$22),2)</f>
        <v>290.0</v>
      </c>
      <c r="AB22" s="13">
        <f>ROUND(EarlyWindfallBaseExtra+EarlyWindfallPermanentLift+IF(A22&lt;=EarlyWindfallTempMonths,EarlyWindfallTempBoost,0),2)</f>
        <v>190.0</v>
      </c>
      <c r="AC22" s="13">
        <f>IF(A22=EarlyWindfallWindfallMonth,EarlyWindfallWindfall,0)</f>
        <v>0.0</v>
      </c>
      <c r="AD22" s="13">
        <f>ROUND($AB$22+$AC$22+IF($G$21&lt;=0,StoreCardMinPayment,0)+IF($L$21&lt;=0,CreditUnionVisaMinPayment,0)+IF($Q$21&lt;=0,PersonalLoanMinPayment,0)+IF($V$21&lt;=0,UsedAutoLoanMinPayment,0)+IF($AA$21&lt;=0,MedicalPlanMinPayment,0),2)</f>
        <v>277.0</v>
      </c>
      <c r="AE22" s="18" t="str">
        <f>IF($F$22&gt;0,Inputs!A6,IF($K$22&gt;0,Inputs!A7,IF($P$22&gt;0,Inputs!A8,IF($U$22&gt;0,Inputs!A9,IF($Z$22&gt;0,Inputs!A5,"")))))</f>
        <v>Credit Union Visa</v>
      </c>
      <c r="AF22" s="13">
        <f>ROUND(SUM($D$22,$I$22,$N$22,$S$22,$X$22),2)</f>
        <v>109.66</v>
      </c>
      <c r="AG22" s="13">
        <f>ROUND(SUM($G$22,$L$22,$Q$22,$V$22,$AA$22),2)</f>
        <v>11789.34</v>
      </c>
    </row>
    <row r="23" spans="1:33">
      <c r="A23" s="17">
        <f>ROW()-3</f>
        <v>19</v>
      </c>
      <c r="B23" s="18" t="str">
        <f>TEXT(EDATE(StartDate,A23-1),"mmm yyyy")</f>
        <v>Oct 2027</v>
      </c>
      <c r="C23" s="13">
        <f>$G$22</f>
        <v>0.0</v>
      </c>
      <c r="D23" s="13">
        <f>ROUND(IF($C$23&lt;=0,0,$C$23*StoreCardAPR/12),2)</f>
        <v>0.0</v>
      </c>
      <c r="E23" s="13">
        <f>ROUND(IF($C$23&lt;=0,0,MIN(StoreCardMinPayment,$C$23+$D$23)),2)</f>
        <v>0.0</v>
      </c>
      <c r="F23" s="13">
        <f>ROUND(IF($C$23&lt;=0,0,MIN(MAX(0,$C$23+$D$23-$E$23),MAX(0,$AD$23))),2)</f>
        <v>0.0</v>
      </c>
      <c r="G23" s="13">
        <f>ROUND(MAX(0,$C$23+$D$23-$E$23-$F$23),2)</f>
        <v>0.0</v>
      </c>
      <c r="H23" s="13">
        <f>$L$22</f>
        <v>1276.37</v>
      </c>
      <c r="I23" s="13">
        <f>ROUND(IF($H$23&lt;=0,0,$H$23*CreditUnionVisaAPR/12),2)</f>
        <v>26.58</v>
      </c>
      <c r="J23" s="13">
        <f>ROUND(IF($H$23&lt;=0,0,MIN(CreditUnionVisaMinPayment,$H$23+$I$23)),2)</f>
        <v>192.0</v>
      </c>
      <c r="K23" s="13">
        <f>ROUND(IF($H$23&lt;=0,0,MIN(MAX(0,$H$23+$I$23-$J$23),MAX(0,$AD$23-$F$23))),2)</f>
        <v>277.0</v>
      </c>
      <c r="L23" s="13">
        <f>ROUND(MAX(0,$H$23+$I$23-$J$23-$K$23),2)</f>
        <v>833.95</v>
      </c>
      <c r="M23" s="13">
        <f>$Q$22</f>
        <v>3563.21</v>
      </c>
      <c r="N23" s="13">
        <f>ROUND(IF($M$23&lt;=0,0,$M$23*PersonalLoanAPR/12),2)</f>
        <v>37.09</v>
      </c>
      <c r="O23" s="13">
        <f>ROUND(IF($M$23&lt;=0,0,MIN(PersonalLoanMinPayment,$M$23+$N$23)),2)</f>
        <v>174.0</v>
      </c>
      <c r="P23" s="13">
        <f>ROUND(IF($M$23&lt;=0,0,MIN(MAX(0,$M$23+$N$23-$O$23),MAX(0,$AD$23-$F$23-$K$23))),2)</f>
        <v>0.0</v>
      </c>
      <c r="Q23" s="13">
        <f>ROUND(MAX(0,$M$23+$N$23-$O$23-$P$23),2)</f>
        <v>3426.3</v>
      </c>
      <c r="R23" s="13">
        <f>$V$22</f>
        <v>6659.76</v>
      </c>
      <c r="S23" s="13">
        <f>ROUND(IF($R$23&lt;=0,0,$R$23*UsedAutoLoanAPR/12),2)</f>
        <v>34.63</v>
      </c>
      <c r="T23" s="13">
        <f>ROUND(IF($R$23&lt;=0,0,MIN(UsedAutoLoanMinPayment,$R$23+$S$23)),2)</f>
        <v>212.0</v>
      </c>
      <c r="U23" s="13">
        <f>ROUND(IF($R$23&lt;=0,0,MIN(MAX(0,$R$23+$S$23-$T$23),MAX(0,$AD$23-$F$23-$K$23-$P$23))),2)</f>
        <v>0.0</v>
      </c>
      <c r="V23" s="13">
        <f>ROUND(MAX(0,$R$23+$S$23-$T$23-$U$23),2)</f>
        <v>6482.39</v>
      </c>
      <c r="W23" s="13">
        <f>$AA$22</f>
        <v>290.0</v>
      </c>
      <c r="X23" s="13">
        <f>ROUND(IF($W$23&lt;=0,0,$W$23*MedicalPlanAPR/12),2)</f>
        <v>0.0</v>
      </c>
      <c r="Y23" s="13">
        <f>ROUND(IF($W$23&lt;=0,0,MIN(MedicalPlanMinPayment,$W$23+$X$23)),2)</f>
        <v>45.0</v>
      </c>
      <c r="Z23" s="13">
        <f>ROUND(IF($W$23&lt;=0,0,MIN(MAX(0,$W$23+$X$23-$Y$23),MAX(0,$AD$23-$F$23-$K$23-$P$23-$U$23))),2)</f>
        <v>0.0</v>
      </c>
      <c r="AA23" s="13">
        <f>ROUND(MAX(0,$W$23+$X$23-$Y$23-$Z$23),2)</f>
        <v>245.0</v>
      </c>
      <c r="AB23" s="13">
        <f>ROUND(EarlyWindfallBaseExtra+EarlyWindfallPermanentLift+IF(A23&lt;=EarlyWindfallTempMonths,EarlyWindfallTempBoost,0),2)</f>
        <v>190.0</v>
      </c>
      <c r="AC23" s="13">
        <f>IF(A23=EarlyWindfallWindfallMonth,EarlyWindfallWindfall,0)</f>
        <v>0.0</v>
      </c>
      <c r="AD23" s="13">
        <f>ROUND($AB$23+$AC$23+IF($G$22&lt;=0,StoreCardMinPayment,0)+IF($L$22&lt;=0,CreditUnionVisaMinPayment,0)+IF($Q$22&lt;=0,PersonalLoanMinPayment,0)+IF($V$22&lt;=0,UsedAutoLoanMinPayment,0)+IF($AA$22&lt;=0,MedicalPlanMinPayment,0),2)</f>
        <v>277.0</v>
      </c>
      <c r="AE23" s="18" t="str">
        <f>IF($F$23&gt;0,Inputs!A6,IF($K$23&gt;0,Inputs!A7,IF($P$23&gt;0,Inputs!A8,IF($U$23&gt;0,Inputs!A9,IF($Z$23&gt;0,Inputs!A5,"")))))</f>
        <v>Credit Union Visa</v>
      </c>
      <c r="AF23" s="13">
        <f>ROUND(SUM($D$23,$I$23,$N$23,$S$23,$X$23),2)</f>
        <v>98.3</v>
      </c>
      <c r="AG23" s="13">
        <f>ROUND(SUM($G$23,$L$23,$Q$23,$V$23,$AA$23),2)</f>
        <v>10987.64</v>
      </c>
    </row>
    <row r="24" spans="1:33">
      <c r="A24" s="17">
        <f>ROW()-3</f>
        <v>20</v>
      </c>
      <c r="B24" s="18" t="str">
        <f>TEXT(EDATE(StartDate,A24-1),"mmm yyyy")</f>
        <v>Nov 2027</v>
      </c>
      <c r="C24" s="13">
        <f>$G$23</f>
        <v>0.0</v>
      </c>
      <c r="D24" s="13">
        <f>ROUND(IF($C$24&lt;=0,0,$C$24*StoreCardAPR/12),2)</f>
        <v>0.0</v>
      </c>
      <c r="E24" s="13">
        <f>ROUND(IF($C$24&lt;=0,0,MIN(StoreCardMinPayment,$C$24+$D$24)),2)</f>
        <v>0.0</v>
      </c>
      <c r="F24" s="13">
        <f>ROUND(IF($C$24&lt;=0,0,MIN(MAX(0,$C$24+$D$24-$E$24),MAX(0,$AD$24))),2)</f>
        <v>0.0</v>
      </c>
      <c r="G24" s="13">
        <f>ROUND(MAX(0,$C$24+$D$24-$E$24-$F$24),2)</f>
        <v>0.0</v>
      </c>
      <c r="H24" s="13">
        <f>$L$23</f>
        <v>833.95</v>
      </c>
      <c r="I24" s="13">
        <f>ROUND(IF($H$24&lt;=0,0,$H$24*CreditUnionVisaAPR/12),2)</f>
        <v>17.37</v>
      </c>
      <c r="J24" s="13">
        <f>ROUND(IF($H$24&lt;=0,0,MIN(CreditUnionVisaMinPayment,$H$24+$I$24)),2)</f>
        <v>192.0</v>
      </c>
      <c r="K24" s="13">
        <f>ROUND(IF($H$24&lt;=0,0,MIN(MAX(0,$H$24+$I$24-$J$24),MAX(0,$AD$24-$F$24))),2)</f>
        <v>277.0</v>
      </c>
      <c r="L24" s="13">
        <f>ROUND(MAX(0,$H$24+$I$24-$J$24-$K$24),2)</f>
        <v>382.32</v>
      </c>
      <c r="M24" s="13">
        <f>$Q$23</f>
        <v>3426.3</v>
      </c>
      <c r="N24" s="13">
        <f>ROUND(IF($M$24&lt;=0,0,$M$24*PersonalLoanAPR/12),2)</f>
        <v>35.66</v>
      </c>
      <c r="O24" s="13">
        <f>ROUND(IF($M$24&lt;=0,0,MIN(PersonalLoanMinPayment,$M$24+$N$24)),2)</f>
        <v>174.0</v>
      </c>
      <c r="P24" s="13">
        <f>ROUND(IF($M$24&lt;=0,0,MIN(MAX(0,$M$24+$N$24-$O$24),MAX(0,$AD$24-$F$24-$K$24))),2)</f>
        <v>0.0</v>
      </c>
      <c r="Q24" s="13">
        <f>ROUND(MAX(0,$M$24+$N$24-$O$24-$P$24),2)</f>
        <v>3287.96</v>
      </c>
      <c r="R24" s="13">
        <f>$V$23</f>
        <v>6482.39</v>
      </c>
      <c r="S24" s="13">
        <f>ROUND(IF($R$24&lt;=0,0,$R$24*UsedAutoLoanAPR/12),2)</f>
        <v>33.71</v>
      </c>
      <c r="T24" s="13">
        <f>ROUND(IF($R$24&lt;=0,0,MIN(UsedAutoLoanMinPayment,$R$24+$S$24)),2)</f>
        <v>212.0</v>
      </c>
      <c r="U24" s="13">
        <f>ROUND(IF($R$24&lt;=0,0,MIN(MAX(0,$R$24+$S$24-$T$24),MAX(0,$AD$24-$F$24-$K$24-$P$24))),2)</f>
        <v>0.0</v>
      </c>
      <c r="V24" s="13">
        <f>ROUND(MAX(0,$R$24+$S$24-$T$24-$U$24),2)</f>
        <v>6304.1</v>
      </c>
      <c r="W24" s="13">
        <f>$AA$23</f>
        <v>245.0</v>
      </c>
      <c r="X24" s="13">
        <f>ROUND(IF($W$24&lt;=0,0,$W$24*MedicalPlanAPR/12),2)</f>
        <v>0.0</v>
      </c>
      <c r="Y24" s="13">
        <f>ROUND(IF($W$24&lt;=0,0,MIN(MedicalPlanMinPayment,$W$24+$X$24)),2)</f>
        <v>45.0</v>
      </c>
      <c r="Z24" s="13">
        <f>ROUND(IF($W$24&lt;=0,0,MIN(MAX(0,$W$24+$X$24-$Y$24),MAX(0,$AD$24-$F$24-$K$24-$P$24-$U$24))),2)</f>
        <v>0.0</v>
      </c>
      <c r="AA24" s="13">
        <f>ROUND(MAX(0,$W$24+$X$24-$Y$24-$Z$24),2)</f>
        <v>200.0</v>
      </c>
      <c r="AB24" s="13">
        <f>ROUND(EarlyWindfallBaseExtra+EarlyWindfallPermanentLift+IF(A24&lt;=EarlyWindfallTempMonths,EarlyWindfallTempBoost,0),2)</f>
        <v>190.0</v>
      </c>
      <c r="AC24" s="13">
        <f>IF(A24=EarlyWindfallWindfallMonth,EarlyWindfallWindfall,0)</f>
        <v>0.0</v>
      </c>
      <c r="AD24" s="13">
        <f>ROUND($AB$24+$AC$24+IF($G$23&lt;=0,StoreCardMinPayment,0)+IF($L$23&lt;=0,CreditUnionVisaMinPayment,0)+IF($Q$23&lt;=0,PersonalLoanMinPayment,0)+IF($V$23&lt;=0,UsedAutoLoanMinPayment,0)+IF($AA$23&lt;=0,MedicalPlanMinPayment,0),2)</f>
        <v>277.0</v>
      </c>
      <c r="AE24" s="18" t="str">
        <f>IF($F$24&gt;0,Inputs!A6,IF($K$24&gt;0,Inputs!A7,IF($P$24&gt;0,Inputs!A8,IF($U$24&gt;0,Inputs!A9,IF($Z$24&gt;0,Inputs!A5,"")))))</f>
        <v>Credit Union Visa</v>
      </c>
      <c r="AF24" s="13">
        <f>ROUND(SUM($D$24,$I$24,$N$24,$S$24,$X$24),2)</f>
        <v>86.74</v>
      </c>
      <c r="AG24" s="13">
        <f>ROUND(SUM($G$24,$L$24,$Q$24,$V$24,$AA$24),2)</f>
        <v>10174.38</v>
      </c>
    </row>
    <row r="25" spans="1:33">
      <c r="A25" s="17">
        <f>ROW()-3</f>
        <v>21</v>
      </c>
      <c r="B25" s="18" t="str">
        <f>TEXT(EDATE(StartDate,A25-1),"mmm yyyy")</f>
        <v>Dec 2027</v>
      </c>
      <c r="C25" s="13">
        <f>$G$24</f>
        <v>0.0</v>
      </c>
      <c r="D25" s="13">
        <f>ROUND(IF($C$25&lt;=0,0,$C$25*StoreCardAPR/12),2)</f>
        <v>0.0</v>
      </c>
      <c r="E25" s="13">
        <f>ROUND(IF($C$25&lt;=0,0,MIN(StoreCardMinPayment,$C$25+$D$25)),2)</f>
        <v>0.0</v>
      </c>
      <c r="F25" s="13">
        <f>ROUND(IF($C$25&lt;=0,0,MIN(MAX(0,$C$25+$D$25-$E$25),MAX(0,$AD$25))),2)</f>
        <v>0.0</v>
      </c>
      <c r="G25" s="13">
        <f>ROUND(MAX(0,$C$25+$D$25-$E$25-$F$25),2)</f>
        <v>0.0</v>
      </c>
      <c r="H25" s="13">
        <f>$L$24</f>
        <v>382.32</v>
      </c>
      <c r="I25" s="13">
        <f>ROUND(IF($H$25&lt;=0,0,$H$25*CreditUnionVisaAPR/12),2)</f>
        <v>7.96</v>
      </c>
      <c r="J25" s="13">
        <f>ROUND(IF($H$25&lt;=0,0,MIN(CreditUnionVisaMinPayment,$H$25+$I$25)),2)</f>
        <v>192.0</v>
      </c>
      <c r="K25" s="13">
        <f>ROUND(IF($H$25&lt;=0,0,MIN(MAX(0,$H$25+$I$25-$J$25),MAX(0,$AD$25-$F$25))),2)</f>
        <v>198.28</v>
      </c>
      <c r="L25" s="13">
        <f>ROUND(MAX(0,$H$25+$I$25-$J$25-$K$25),2)</f>
        <v>0.0</v>
      </c>
      <c r="M25" s="13">
        <f>$Q$24</f>
        <v>3287.96</v>
      </c>
      <c r="N25" s="13">
        <f>ROUND(IF($M$25&lt;=0,0,$M$25*PersonalLoanAPR/12),2)</f>
        <v>34.22</v>
      </c>
      <c r="O25" s="13">
        <f>ROUND(IF($M$25&lt;=0,0,MIN(PersonalLoanMinPayment,$M$25+$N$25)),2)</f>
        <v>174.0</v>
      </c>
      <c r="P25" s="13">
        <f>ROUND(IF($M$25&lt;=0,0,MIN(MAX(0,$M$25+$N$25-$O$25),MAX(0,$AD$25-$F$25-$K$25))),2)</f>
        <v>78.72</v>
      </c>
      <c r="Q25" s="13">
        <f>ROUND(MAX(0,$M$25+$N$25-$O$25-$P$25),2)</f>
        <v>3069.46</v>
      </c>
      <c r="R25" s="13">
        <f>$V$24</f>
        <v>6304.1</v>
      </c>
      <c r="S25" s="13">
        <f>ROUND(IF($R$25&lt;=0,0,$R$25*UsedAutoLoanAPR/12),2)</f>
        <v>32.78</v>
      </c>
      <c r="T25" s="13">
        <f>ROUND(IF($R$25&lt;=0,0,MIN(UsedAutoLoanMinPayment,$R$25+$S$25)),2)</f>
        <v>212.0</v>
      </c>
      <c r="U25" s="13">
        <f>ROUND(IF($R$25&lt;=0,0,MIN(MAX(0,$R$25+$S$25-$T$25),MAX(0,$AD$25-$F$25-$K$25-$P$25))),2)</f>
        <v>0.0</v>
      </c>
      <c r="V25" s="13">
        <f>ROUND(MAX(0,$R$25+$S$25-$T$25-$U$25),2)</f>
        <v>6124.88</v>
      </c>
      <c r="W25" s="13">
        <f>$AA$24</f>
        <v>200.0</v>
      </c>
      <c r="X25" s="13">
        <f>ROUND(IF($W$25&lt;=0,0,$W$25*MedicalPlanAPR/12),2)</f>
        <v>0.0</v>
      </c>
      <c r="Y25" s="13">
        <f>ROUND(IF($W$25&lt;=0,0,MIN(MedicalPlanMinPayment,$W$25+$X$25)),2)</f>
        <v>45.0</v>
      </c>
      <c r="Z25" s="13">
        <f>ROUND(IF($W$25&lt;=0,0,MIN(MAX(0,$W$25+$X$25-$Y$25),MAX(0,$AD$25-$F$25-$K$25-$P$25-$U$25))),2)</f>
        <v>0.0</v>
      </c>
      <c r="AA25" s="13">
        <f>ROUND(MAX(0,$W$25+$X$25-$Y$25-$Z$25),2)</f>
        <v>155.0</v>
      </c>
      <c r="AB25" s="13">
        <f>ROUND(EarlyWindfallBaseExtra+EarlyWindfallPermanentLift+IF(A25&lt;=EarlyWindfallTempMonths,EarlyWindfallTempBoost,0),2)</f>
        <v>190.0</v>
      </c>
      <c r="AC25" s="13">
        <f>IF(A25=EarlyWindfallWindfallMonth,EarlyWindfallWindfall,0)</f>
        <v>0.0</v>
      </c>
      <c r="AD25" s="13">
        <f>ROUND($AB$25+$AC$25+IF($G$24&lt;=0,StoreCardMinPayment,0)+IF($L$24&lt;=0,CreditUnionVisaMinPayment,0)+IF($Q$24&lt;=0,PersonalLoanMinPayment,0)+IF($V$24&lt;=0,UsedAutoLoanMinPayment,0)+IF($AA$24&lt;=0,MedicalPlanMinPayment,0),2)</f>
        <v>277.0</v>
      </c>
      <c r="AE25" s="18" t="str">
        <f>IF($F$25&gt;0,Inputs!A6,IF($K$25&gt;0,Inputs!A7,IF($P$25&gt;0,Inputs!A8,IF($U$25&gt;0,Inputs!A9,IF($Z$25&gt;0,Inputs!A5,"")))))</f>
        <v>Credit Union Visa</v>
      </c>
      <c r="AF25" s="13">
        <f>ROUND(SUM($D$25,$I$25,$N$25,$S$25,$X$25),2)</f>
        <v>74.96</v>
      </c>
      <c r="AG25" s="13">
        <f>ROUND(SUM($G$25,$L$25,$Q$25,$V$25,$AA$25),2)</f>
        <v>9349.34</v>
      </c>
    </row>
    <row r="26" spans="1:33">
      <c r="A26" s="17">
        <f>ROW()-3</f>
        <v>22</v>
      </c>
      <c r="B26" s="18" t="str">
        <f>TEXT(EDATE(StartDate,A26-1),"mmm yyyy")</f>
        <v>Jan 2028</v>
      </c>
      <c r="C26" s="13">
        <f>$G$25</f>
        <v>0.0</v>
      </c>
      <c r="D26" s="13">
        <f>ROUND(IF($C$26&lt;=0,0,$C$26*StoreCardAPR/12),2)</f>
        <v>0.0</v>
      </c>
      <c r="E26" s="13">
        <f>ROUND(IF($C$26&lt;=0,0,MIN(StoreCardMinPayment,$C$26+$D$26)),2)</f>
        <v>0.0</v>
      </c>
      <c r="F26" s="13">
        <f>ROUND(IF($C$26&lt;=0,0,MIN(MAX(0,$C$26+$D$26-$E$26),MAX(0,$AD$26))),2)</f>
        <v>0.0</v>
      </c>
      <c r="G26" s="13">
        <f>ROUND(MAX(0,$C$26+$D$26-$E$26-$F$26),2)</f>
        <v>0.0</v>
      </c>
      <c r="H26" s="13">
        <f>$L$25</f>
        <v>0.0</v>
      </c>
      <c r="I26" s="13">
        <f>ROUND(IF($H$26&lt;=0,0,$H$26*CreditUnionVisaAPR/12),2)</f>
        <v>0.0</v>
      </c>
      <c r="J26" s="13">
        <f>ROUND(IF($H$26&lt;=0,0,MIN(CreditUnionVisaMinPayment,$H$26+$I$26)),2)</f>
        <v>0.0</v>
      </c>
      <c r="K26" s="13">
        <f>ROUND(IF($H$26&lt;=0,0,MIN(MAX(0,$H$26+$I$26-$J$26),MAX(0,$AD$26-$F$26))),2)</f>
        <v>0.0</v>
      </c>
      <c r="L26" s="13">
        <f>ROUND(MAX(0,$H$26+$I$26-$J$26-$K$26),2)</f>
        <v>0.0</v>
      </c>
      <c r="M26" s="13">
        <f>$Q$25</f>
        <v>3069.46</v>
      </c>
      <c r="N26" s="13">
        <f>ROUND(IF($M$26&lt;=0,0,$M$26*PersonalLoanAPR/12),2)</f>
        <v>31.95</v>
      </c>
      <c r="O26" s="13">
        <f>ROUND(IF($M$26&lt;=0,0,MIN(PersonalLoanMinPayment,$M$26+$N$26)),2)</f>
        <v>174.0</v>
      </c>
      <c r="P26" s="13">
        <f>ROUND(IF($M$26&lt;=0,0,MIN(MAX(0,$M$26+$N$26-$O$26),MAX(0,$AD$26-$F$26-$K$26))),2)</f>
        <v>469.0</v>
      </c>
      <c r="Q26" s="13">
        <f>ROUND(MAX(0,$M$26+$N$26-$O$26-$P$26),2)</f>
        <v>2458.41</v>
      </c>
      <c r="R26" s="13">
        <f>$V$25</f>
        <v>6124.88</v>
      </c>
      <c r="S26" s="13">
        <f>ROUND(IF($R$26&lt;=0,0,$R$26*UsedAutoLoanAPR/12),2)</f>
        <v>31.85</v>
      </c>
      <c r="T26" s="13">
        <f>ROUND(IF($R$26&lt;=0,0,MIN(UsedAutoLoanMinPayment,$R$26+$S$26)),2)</f>
        <v>212.0</v>
      </c>
      <c r="U26" s="13">
        <f>ROUND(IF($R$26&lt;=0,0,MIN(MAX(0,$R$26+$S$26-$T$26),MAX(0,$AD$26-$F$26-$K$26-$P$26))),2)</f>
        <v>0.0</v>
      </c>
      <c r="V26" s="13">
        <f>ROUND(MAX(0,$R$26+$S$26-$T$26-$U$26),2)</f>
        <v>5944.73</v>
      </c>
      <c r="W26" s="13">
        <f>$AA$25</f>
        <v>155.0</v>
      </c>
      <c r="X26" s="13">
        <f>ROUND(IF($W$26&lt;=0,0,$W$26*MedicalPlanAPR/12),2)</f>
        <v>0.0</v>
      </c>
      <c r="Y26" s="13">
        <f>ROUND(IF($W$26&lt;=0,0,MIN(MedicalPlanMinPayment,$W$26+$X$26)),2)</f>
        <v>45.0</v>
      </c>
      <c r="Z26" s="13">
        <f>ROUND(IF($W$26&lt;=0,0,MIN(MAX(0,$W$26+$X$26-$Y$26),MAX(0,$AD$26-$F$26-$K$26-$P$26-$U$26))),2)</f>
        <v>0.0</v>
      </c>
      <c r="AA26" s="13">
        <f>ROUND(MAX(0,$W$26+$X$26-$Y$26-$Z$26),2)</f>
        <v>110.0</v>
      </c>
      <c r="AB26" s="13">
        <f>ROUND(EarlyWindfallBaseExtra+EarlyWindfallPermanentLift+IF(A26&lt;=EarlyWindfallTempMonths,EarlyWindfallTempBoost,0),2)</f>
        <v>190.0</v>
      </c>
      <c r="AC26" s="13">
        <f>IF(A26=EarlyWindfallWindfallMonth,EarlyWindfallWindfall,0)</f>
        <v>0.0</v>
      </c>
      <c r="AD26" s="13">
        <f>ROUND($AB$26+$AC$26+IF($G$25&lt;=0,StoreCardMinPayment,0)+IF($L$25&lt;=0,CreditUnionVisaMinPayment,0)+IF($Q$25&lt;=0,PersonalLoanMinPayment,0)+IF($V$25&lt;=0,UsedAutoLoanMinPayment,0)+IF($AA$25&lt;=0,MedicalPlanMinPayment,0),2)</f>
        <v>469.0</v>
      </c>
      <c r="AE26" s="18" t="str">
        <f>IF($F$26&gt;0,Inputs!A6,IF($K$26&gt;0,Inputs!A7,IF($P$26&gt;0,Inputs!A8,IF($U$26&gt;0,Inputs!A9,IF($Z$26&gt;0,Inputs!A5,"")))))</f>
        <v>Personal Loan</v>
      </c>
      <c r="AF26" s="13">
        <f>ROUND(SUM($D$26,$I$26,$N$26,$S$26,$X$26),2)</f>
        <v>63.8</v>
      </c>
      <c r="AG26" s="13">
        <f>ROUND(SUM($G$26,$L$26,$Q$26,$V$26,$AA$26),2)</f>
        <v>8513.14</v>
      </c>
    </row>
    <row r="27" spans="1:33">
      <c r="A27" s="17">
        <f>ROW()-3</f>
        <v>23</v>
      </c>
      <c r="B27" s="18" t="str">
        <f>TEXT(EDATE(StartDate,A27-1),"mmm yyyy")</f>
        <v>Feb 2028</v>
      </c>
      <c r="C27" s="13">
        <f>$G$26</f>
        <v>0.0</v>
      </c>
      <c r="D27" s="13">
        <f>ROUND(IF($C$27&lt;=0,0,$C$27*StoreCardAPR/12),2)</f>
        <v>0.0</v>
      </c>
      <c r="E27" s="13">
        <f>ROUND(IF($C$27&lt;=0,0,MIN(StoreCardMinPayment,$C$27+$D$27)),2)</f>
        <v>0.0</v>
      </c>
      <c r="F27" s="13">
        <f>ROUND(IF($C$27&lt;=0,0,MIN(MAX(0,$C$27+$D$27-$E$27),MAX(0,$AD$27))),2)</f>
        <v>0.0</v>
      </c>
      <c r="G27" s="13">
        <f>ROUND(MAX(0,$C$27+$D$27-$E$27-$F$27),2)</f>
        <v>0.0</v>
      </c>
      <c r="H27" s="13">
        <f>$L$26</f>
        <v>0.0</v>
      </c>
      <c r="I27" s="13">
        <f>ROUND(IF($H$27&lt;=0,0,$H$27*CreditUnionVisaAPR/12),2)</f>
        <v>0.0</v>
      </c>
      <c r="J27" s="13">
        <f>ROUND(IF($H$27&lt;=0,0,MIN(CreditUnionVisaMinPayment,$H$27+$I$27)),2)</f>
        <v>0.0</v>
      </c>
      <c r="K27" s="13">
        <f>ROUND(IF($H$27&lt;=0,0,MIN(MAX(0,$H$27+$I$27-$J$27),MAX(0,$AD$27-$F$27))),2)</f>
        <v>0.0</v>
      </c>
      <c r="L27" s="13">
        <f>ROUND(MAX(0,$H$27+$I$27-$J$27-$K$27),2)</f>
        <v>0.0</v>
      </c>
      <c r="M27" s="13">
        <f>$Q$26</f>
        <v>2458.41</v>
      </c>
      <c r="N27" s="13">
        <f>ROUND(IF($M$27&lt;=0,0,$M$27*PersonalLoanAPR/12),2)</f>
        <v>25.59</v>
      </c>
      <c r="O27" s="13">
        <f>ROUND(IF($M$27&lt;=0,0,MIN(PersonalLoanMinPayment,$M$27+$N$27)),2)</f>
        <v>174.0</v>
      </c>
      <c r="P27" s="13">
        <f>ROUND(IF($M$27&lt;=0,0,MIN(MAX(0,$M$27+$N$27-$O$27),MAX(0,$AD$27-$F$27-$K$27))),2)</f>
        <v>469.0</v>
      </c>
      <c r="Q27" s="13">
        <f>ROUND(MAX(0,$M$27+$N$27-$O$27-$P$27),2)</f>
        <v>1841.0</v>
      </c>
      <c r="R27" s="13">
        <f>$V$26</f>
        <v>5944.73</v>
      </c>
      <c r="S27" s="13">
        <f>ROUND(IF($R$27&lt;=0,0,$R$27*UsedAutoLoanAPR/12),2)</f>
        <v>30.91</v>
      </c>
      <c r="T27" s="13">
        <f>ROUND(IF($R$27&lt;=0,0,MIN(UsedAutoLoanMinPayment,$R$27+$S$27)),2)</f>
        <v>212.0</v>
      </c>
      <c r="U27" s="13">
        <f>ROUND(IF($R$27&lt;=0,0,MIN(MAX(0,$R$27+$S$27-$T$27),MAX(0,$AD$27-$F$27-$K$27-$P$27))),2)</f>
        <v>0.0</v>
      </c>
      <c r="V27" s="13">
        <f>ROUND(MAX(0,$R$27+$S$27-$T$27-$U$27),2)</f>
        <v>5763.64</v>
      </c>
      <c r="W27" s="13">
        <f>$AA$26</f>
        <v>110.0</v>
      </c>
      <c r="X27" s="13">
        <f>ROUND(IF($W$27&lt;=0,0,$W$27*MedicalPlanAPR/12),2)</f>
        <v>0.0</v>
      </c>
      <c r="Y27" s="13">
        <f>ROUND(IF($W$27&lt;=0,0,MIN(MedicalPlanMinPayment,$W$27+$X$27)),2)</f>
        <v>45.0</v>
      </c>
      <c r="Z27" s="13">
        <f>ROUND(IF($W$27&lt;=0,0,MIN(MAX(0,$W$27+$X$27-$Y$27),MAX(0,$AD$27-$F$27-$K$27-$P$27-$U$27))),2)</f>
        <v>0.0</v>
      </c>
      <c r="AA27" s="13">
        <f>ROUND(MAX(0,$W$27+$X$27-$Y$27-$Z$27),2)</f>
        <v>65.0</v>
      </c>
      <c r="AB27" s="13">
        <f>ROUND(EarlyWindfallBaseExtra+EarlyWindfallPermanentLift+IF(A27&lt;=EarlyWindfallTempMonths,EarlyWindfallTempBoost,0),2)</f>
        <v>190.0</v>
      </c>
      <c r="AC27" s="13">
        <f>IF(A27=EarlyWindfallWindfallMonth,EarlyWindfallWindfall,0)</f>
        <v>0.0</v>
      </c>
      <c r="AD27" s="13">
        <f>ROUND($AB$27+$AC$27+IF($G$26&lt;=0,StoreCardMinPayment,0)+IF($L$26&lt;=0,CreditUnionVisaMinPayment,0)+IF($Q$26&lt;=0,PersonalLoanMinPayment,0)+IF($V$26&lt;=0,UsedAutoLoanMinPayment,0)+IF($AA$26&lt;=0,MedicalPlanMinPayment,0),2)</f>
        <v>469.0</v>
      </c>
      <c r="AE27" s="18" t="str">
        <f>IF($F$27&gt;0,Inputs!A6,IF($K$27&gt;0,Inputs!A7,IF($P$27&gt;0,Inputs!A8,IF($U$27&gt;0,Inputs!A9,IF($Z$27&gt;0,Inputs!A5,"")))))</f>
        <v>Personal Loan</v>
      </c>
      <c r="AF27" s="13">
        <f>ROUND(SUM($D$27,$I$27,$N$27,$S$27,$X$27),2)</f>
        <v>56.5</v>
      </c>
      <c r="AG27" s="13">
        <f>ROUND(SUM($G$27,$L$27,$Q$27,$V$27,$AA$27),2)</f>
        <v>7669.64</v>
      </c>
    </row>
    <row r="28" spans="1:33">
      <c r="A28" s="17">
        <f>ROW()-3</f>
        <v>24</v>
      </c>
      <c r="B28" s="18" t="str">
        <f>TEXT(EDATE(StartDate,A28-1),"mmm yyyy")</f>
        <v>Mar 2028</v>
      </c>
      <c r="C28" s="13">
        <f>$G$27</f>
        <v>0.0</v>
      </c>
      <c r="D28" s="13">
        <f>ROUND(IF($C$28&lt;=0,0,$C$28*StoreCardAPR/12),2)</f>
        <v>0.0</v>
      </c>
      <c r="E28" s="13">
        <f>ROUND(IF($C$28&lt;=0,0,MIN(StoreCardMinPayment,$C$28+$D$28)),2)</f>
        <v>0.0</v>
      </c>
      <c r="F28" s="13">
        <f>ROUND(IF($C$28&lt;=0,0,MIN(MAX(0,$C$28+$D$28-$E$28),MAX(0,$AD$28))),2)</f>
        <v>0.0</v>
      </c>
      <c r="G28" s="13">
        <f>ROUND(MAX(0,$C$28+$D$28-$E$28-$F$28),2)</f>
        <v>0.0</v>
      </c>
      <c r="H28" s="13">
        <f>$L$27</f>
        <v>0.0</v>
      </c>
      <c r="I28" s="13">
        <f>ROUND(IF($H$28&lt;=0,0,$H$28*CreditUnionVisaAPR/12),2)</f>
        <v>0.0</v>
      </c>
      <c r="J28" s="13">
        <f>ROUND(IF($H$28&lt;=0,0,MIN(CreditUnionVisaMinPayment,$H$28+$I$28)),2)</f>
        <v>0.0</v>
      </c>
      <c r="K28" s="13">
        <f>ROUND(IF($H$28&lt;=0,0,MIN(MAX(0,$H$28+$I$28-$J$28),MAX(0,$AD$28-$F$28))),2)</f>
        <v>0.0</v>
      </c>
      <c r="L28" s="13">
        <f>ROUND(MAX(0,$H$28+$I$28-$J$28-$K$28),2)</f>
        <v>0.0</v>
      </c>
      <c r="M28" s="13">
        <f>$Q$27</f>
        <v>1841.0</v>
      </c>
      <c r="N28" s="13">
        <f>ROUND(IF($M$28&lt;=0,0,$M$28*PersonalLoanAPR/12),2)</f>
        <v>19.16</v>
      </c>
      <c r="O28" s="13">
        <f>ROUND(IF($M$28&lt;=0,0,MIN(PersonalLoanMinPayment,$M$28+$N$28)),2)</f>
        <v>174.0</v>
      </c>
      <c r="P28" s="13">
        <f>ROUND(IF($M$28&lt;=0,0,MIN(MAX(0,$M$28+$N$28-$O$28),MAX(0,$AD$28-$F$28-$K$28))),2)</f>
        <v>469.0</v>
      </c>
      <c r="Q28" s="13">
        <f>ROUND(MAX(0,$M$28+$N$28-$O$28-$P$28),2)</f>
        <v>1217.16</v>
      </c>
      <c r="R28" s="13">
        <f>$V$27</f>
        <v>5763.64</v>
      </c>
      <c r="S28" s="13">
        <f>ROUND(IF($R$28&lt;=0,0,$R$28*UsedAutoLoanAPR/12),2)</f>
        <v>29.97</v>
      </c>
      <c r="T28" s="13">
        <f>ROUND(IF($R$28&lt;=0,0,MIN(UsedAutoLoanMinPayment,$R$28+$S$28)),2)</f>
        <v>212.0</v>
      </c>
      <c r="U28" s="13">
        <f>ROUND(IF($R$28&lt;=0,0,MIN(MAX(0,$R$28+$S$28-$T$28),MAX(0,$AD$28-$F$28-$K$28-$P$28))),2)</f>
        <v>0.0</v>
      </c>
      <c r="V28" s="13">
        <f>ROUND(MAX(0,$R$28+$S$28-$T$28-$U$28),2)</f>
        <v>5581.61</v>
      </c>
      <c r="W28" s="13">
        <f>$AA$27</f>
        <v>65.0</v>
      </c>
      <c r="X28" s="13">
        <f>ROUND(IF($W$28&lt;=0,0,$W$28*MedicalPlanAPR/12),2)</f>
        <v>0.0</v>
      </c>
      <c r="Y28" s="13">
        <f>ROUND(IF($W$28&lt;=0,0,MIN(MedicalPlanMinPayment,$W$28+$X$28)),2)</f>
        <v>45.0</v>
      </c>
      <c r="Z28" s="13">
        <f>ROUND(IF($W$28&lt;=0,0,MIN(MAX(0,$W$28+$X$28-$Y$28),MAX(0,$AD$28-$F$28-$K$28-$P$28-$U$28))),2)</f>
        <v>0.0</v>
      </c>
      <c r="AA28" s="13">
        <f>ROUND(MAX(0,$W$28+$X$28-$Y$28-$Z$28),2)</f>
        <v>20.0</v>
      </c>
      <c r="AB28" s="13">
        <f>ROUND(EarlyWindfallBaseExtra+EarlyWindfallPermanentLift+IF(A28&lt;=EarlyWindfallTempMonths,EarlyWindfallTempBoost,0),2)</f>
        <v>190.0</v>
      </c>
      <c r="AC28" s="13">
        <f>IF(A28=EarlyWindfallWindfallMonth,EarlyWindfallWindfall,0)</f>
        <v>0.0</v>
      </c>
      <c r="AD28" s="13">
        <f>ROUND($AB$28+$AC$28+IF($G$27&lt;=0,StoreCardMinPayment,0)+IF($L$27&lt;=0,CreditUnionVisaMinPayment,0)+IF($Q$27&lt;=0,PersonalLoanMinPayment,0)+IF($V$27&lt;=0,UsedAutoLoanMinPayment,0)+IF($AA$27&lt;=0,MedicalPlanMinPayment,0),2)</f>
        <v>469.0</v>
      </c>
      <c r="AE28" s="18" t="str">
        <f>IF($F$28&gt;0,Inputs!A6,IF($K$28&gt;0,Inputs!A7,IF($P$28&gt;0,Inputs!A8,IF($U$28&gt;0,Inputs!A9,IF($Z$28&gt;0,Inputs!A5,"")))))</f>
        <v>Personal Loan</v>
      </c>
      <c r="AF28" s="13">
        <f>ROUND(SUM($D$28,$I$28,$N$28,$S$28,$X$28),2)</f>
        <v>49.13</v>
      </c>
      <c r="AG28" s="13">
        <f>ROUND(SUM($G$28,$L$28,$Q$28,$V$28,$AA$28),2)</f>
        <v>6818.77</v>
      </c>
    </row>
    <row r="29" spans="1:33">
      <c r="A29" s="17">
        <f>ROW()-3</f>
        <v>25</v>
      </c>
      <c r="B29" s="18" t="str">
        <f>TEXT(EDATE(StartDate,A29-1),"mmm yyyy")</f>
        <v>Apr 2028</v>
      </c>
      <c r="C29" s="13">
        <f>$G$28</f>
        <v>0.0</v>
      </c>
      <c r="D29" s="13">
        <f>ROUND(IF($C$29&lt;=0,0,$C$29*StoreCardAPR/12),2)</f>
        <v>0.0</v>
      </c>
      <c r="E29" s="13">
        <f>ROUND(IF($C$29&lt;=0,0,MIN(StoreCardMinPayment,$C$29+$D$29)),2)</f>
        <v>0.0</v>
      </c>
      <c r="F29" s="13">
        <f>ROUND(IF($C$29&lt;=0,0,MIN(MAX(0,$C$29+$D$29-$E$29),MAX(0,$AD$29))),2)</f>
        <v>0.0</v>
      </c>
      <c r="G29" s="13">
        <f>ROUND(MAX(0,$C$29+$D$29-$E$29-$F$29),2)</f>
        <v>0.0</v>
      </c>
      <c r="H29" s="13">
        <f>$L$28</f>
        <v>0.0</v>
      </c>
      <c r="I29" s="13">
        <f>ROUND(IF($H$29&lt;=0,0,$H$29*CreditUnionVisaAPR/12),2)</f>
        <v>0.0</v>
      </c>
      <c r="J29" s="13">
        <f>ROUND(IF($H$29&lt;=0,0,MIN(CreditUnionVisaMinPayment,$H$29+$I$29)),2)</f>
        <v>0.0</v>
      </c>
      <c r="K29" s="13">
        <f>ROUND(IF($H$29&lt;=0,0,MIN(MAX(0,$H$29+$I$29-$J$29),MAX(0,$AD$29-$F$29))),2)</f>
        <v>0.0</v>
      </c>
      <c r="L29" s="13">
        <f>ROUND(MAX(0,$H$29+$I$29-$J$29-$K$29),2)</f>
        <v>0.0</v>
      </c>
      <c r="M29" s="13">
        <f>$Q$28</f>
        <v>1217.16</v>
      </c>
      <c r="N29" s="13">
        <f>ROUND(IF($M$29&lt;=0,0,$M$29*PersonalLoanAPR/12),2)</f>
        <v>12.67</v>
      </c>
      <c r="O29" s="13">
        <f>ROUND(IF($M$29&lt;=0,0,MIN(PersonalLoanMinPayment,$M$29+$N$29)),2)</f>
        <v>174.0</v>
      </c>
      <c r="P29" s="13">
        <f>ROUND(IF($M$29&lt;=0,0,MIN(MAX(0,$M$29+$N$29-$O$29),MAX(0,$AD$29-$F$29-$K$29))),2)</f>
        <v>469.0</v>
      </c>
      <c r="Q29" s="13">
        <f>ROUND(MAX(0,$M$29+$N$29-$O$29-$P$29),2)</f>
        <v>586.83</v>
      </c>
      <c r="R29" s="13">
        <f>$V$28</f>
        <v>5581.61</v>
      </c>
      <c r="S29" s="13">
        <f>ROUND(IF($R$29&lt;=0,0,$R$29*UsedAutoLoanAPR/12),2)</f>
        <v>29.02</v>
      </c>
      <c r="T29" s="13">
        <f>ROUND(IF($R$29&lt;=0,0,MIN(UsedAutoLoanMinPayment,$R$29+$S$29)),2)</f>
        <v>212.0</v>
      </c>
      <c r="U29" s="13">
        <f>ROUND(IF($R$29&lt;=0,0,MIN(MAX(0,$R$29+$S$29-$T$29),MAX(0,$AD$29-$F$29-$K$29-$P$29))),2)</f>
        <v>0.0</v>
      </c>
      <c r="V29" s="13">
        <f>ROUND(MAX(0,$R$29+$S$29-$T$29-$U$29),2)</f>
        <v>5398.63</v>
      </c>
      <c r="W29" s="13">
        <f>$AA$28</f>
        <v>20.0</v>
      </c>
      <c r="X29" s="13">
        <f>ROUND(IF($W$29&lt;=0,0,$W$29*MedicalPlanAPR/12),2)</f>
        <v>0.0</v>
      </c>
      <c r="Y29" s="13">
        <f>ROUND(IF($W$29&lt;=0,0,MIN(MedicalPlanMinPayment,$W$29+$X$29)),2)</f>
        <v>20.0</v>
      </c>
      <c r="Z29" s="13">
        <f>ROUND(IF($W$29&lt;=0,0,MIN(MAX(0,$W$29+$X$29-$Y$29),MAX(0,$AD$29-$F$29-$K$29-$P$29-$U$29))),2)</f>
        <v>0.0</v>
      </c>
      <c r="AA29" s="13">
        <f>ROUND(MAX(0,$W$29+$X$29-$Y$29-$Z$29),2)</f>
        <v>0.0</v>
      </c>
      <c r="AB29" s="13">
        <f>ROUND(EarlyWindfallBaseExtra+EarlyWindfallPermanentLift+IF(A29&lt;=EarlyWindfallTempMonths,EarlyWindfallTempBoost,0),2)</f>
        <v>190.0</v>
      </c>
      <c r="AC29" s="13">
        <f>IF(A29=EarlyWindfallWindfallMonth,EarlyWindfallWindfall,0)</f>
        <v>0.0</v>
      </c>
      <c r="AD29" s="13">
        <f>ROUND($AB$29+$AC$29+IF($G$28&lt;=0,StoreCardMinPayment,0)+IF($L$28&lt;=0,CreditUnionVisaMinPayment,0)+IF($Q$28&lt;=0,PersonalLoanMinPayment,0)+IF($V$28&lt;=0,UsedAutoLoanMinPayment,0)+IF($AA$28&lt;=0,MedicalPlanMinPayment,0),2)</f>
        <v>469.0</v>
      </c>
      <c r="AE29" s="18" t="str">
        <f>IF($F$29&gt;0,Inputs!A6,IF($K$29&gt;0,Inputs!A7,IF($P$29&gt;0,Inputs!A8,IF($U$29&gt;0,Inputs!A9,IF($Z$29&gt;0,Inputs!A5,"")))))</f>
        <v>Personal Loan</v>
      </c>
      <c r="AF29" s="13">
        <f>ROUND(SUM($D$29,$I$29,$N$29,$S$29,$X$29),2)</f>
        <v>41.69</v>
      </c>
      <c r="AG29" s="13">
        <f>ROUND(SUM($G$29,$L$29,$Q$29,$V$29,$AA$29),2)</f>
        <v>5985.46</v>
      </c>
    </row>
    <row r="30" spans="1:33">
      <c r="A30" s="17">
        <f>ROW()-3</f>
        <v>26</v>
      </c>
      <c r="B30" s="18" t="str">
        <f>TEXT(EDATE(StartDate,A30-1),"mmm yyyy")</f>
        <v>May 2028</v>
      </c>
      <c r="C30" s="13">
        <f>$G$29</f>
        <v>0.0</v>
      </c>
      <c r="D30" s="13">
        <f>ROUND(IF($C$30&lt;=0,0,$C$30*StoreCardAPR/12),2)</f>
        <v>0.0</v>
      </c>
      <c r="E30" s="13">
        <f>ROUND(IF($C$30&lt;=0,0,MIN(StoreCardMinPayment,$C$30+$D$30)),2)</f>
        <v>0.0</v>
      </c>
      <c r="F30" s="13">
        <f>ROUND(IF($C$30&lt;=0,0,MIN(MAX(0,$C$30+$D$30-$E$30),MAX(0,$AD$30))),2)</f>
        <v>0.0</v>
      </c>
      <c r="G30" s="13">
        <f>ROUND(MAX(0,$C$30+$D$30-$E$30-$F$30),2)</f>
        <v>0.0</v>
      </c>
      <c r="H30" s="13">
        <f>$L$29</f>
        <v>0.0</v>
      </c>
      <c r="I30" s="13">
        <f>ROUND(IF($H$30&lt;=0,0,$H$30*CreditUnionVisaAPR/12),2)</f>
        <v>0.0</v>
      </c>
      <c r="J30" s="13">
        <f>ROUND(IF($H$30&lt;=0,0,MIN(CreditUnionVisaMinPayment,$H$30+$I$30)),2)</f>
        <v>0.0</v>
      </c>
      <c r="K30" s="13">
        <f>ROUND(IF($H$30&lt;=0,0,MIN(MAX(0,$H$30+$I$30-$J$30),MAX(0,$AD$30-$F$30))),2)</f>
        <v>0.0</v>
      </c>
      <c r="L30" s="13">
        <f>ROUND(MAX(0,$H$30+$I$30-$J$30-$K$30),2)</f>
        <v>0.0</v>
      </c>
      <c r="M30" s="13">
        <f>$Q$29</f>
        <v>586.83</v>
      </c>
      <c r="N30" s="13">
        <f>ROUND(IF($M$30&lt;=0,0,$M$30*PersonalLoanAPR/12),2)</f>
        <v>6.11</v>
      </c>
      <c r="O30" s="13">
        <f>ROUND(IF($M$30&lt;=0,0,MIN(PersonalLoanMinPayment,$M$30+$N$30)),2)</f>
        <v>174.0</v>
      </c>
      <c r="P30" s="13">
        <f>ROUND(IF($M$30&lt;=0,0,MIN(MAX(0,$M$30+$N$30-$O$30),MAX(0,$AD$30-$F$30-$K$30))),2)</f>
        <v>418.94</v>
      </c>
      <c r="Q30" s="13">
        <f>ROUND(MAX(0,$M$30+$N$30-$O$30-$P$30),2)</f>
        <v>0.0</v>
      </c>
      <c r="R30" s="13">
        <f>$V$29</f>
        <v>5398.63</v>
      </c>
      <c r="S30" s="13">
        <f>ROUND(IF($R$30&lt;=0,0,$R$30*UsedAutoLoanAPR/12),2)</f>
        <v>28.07</v>
      </c>
      <c r="T30" s="13">
        <f>ROUND(IF($R$30&lt;=0,0,MIN(UsedAutoLoanMinPayment,$R$30+$S$30)),2)</f>
        <v>212.0</v>
      </c>
      <c r="U30" s="13">
        <f>ROUND(IF($R$30&lt;=0,0,MIN(MAX(0,$R$30+$S$30-$T$30),MAX(0,$AD$30-$F$30-$K$30-$P$30))),2)</f>
        <v>95.06</v>
      </c>
      <c r="V30" s="13">
        <f>ROUND(MAX(0,$R$30+$S$30-$T$30-$U$30),2)</f>
        <v>5119.64</v>
      </c>
      <c r="W30" s="13">
        <f>$AA$29</f>
        <v>0.0</v>
      </c>
      <c r="X30" s="13">
        <f>ROUND(IF($W$30&lt;=0,0,$W$30*MedicalPlanAPR/12),2)</f>
        <v>0.0</v>
      </c>
      <c r="Y30" s="13">
        <f>ROUND(IF($W$30&lt;=0,0,MIN(MedicalPlanMinPayment,$W$30+$X$30)),2)</f>
        <v>0.0</v>
      </c>
      <c r="Z30" s="13">
        <f>ROUND(IF($W$30&lt;=0,0,MIN(MAX(0,$W$30+$X$30-$Y$30),MAX(0,$AD$30-$F$30-$K$30-$P$30-$U$30))),2)</f>
        <v>0.0</v>
      </c>
      <c r="AA30" s="13">
        <f>ROUND(MAX(0,$W$30+$X$30-$Y$30-$Z$30),2)</f>
        <v>0.0</v>
      </c>
      <c r="AB30" s="13">
        <f>ROUND(EarlyWindfallBaseExtra+EarlyWindfallPermanentLift+IF(A30&lt;=EarlyWindfallTempMonths,EarlyWindfallTempBoost,0),2)</f>
        <v>190.0</v>
      </c>
      <c r="AC30" s="13">
        <f>IF(A30=EarlyWindfallWindfallMonth,EarlyWindfallWindfall,0)</f>
        <v>0.0</v>
      </c>
      <c r="AD30" s="13">
        <f>ROUND($AB$30+$AC$30+IF($G$29&lt;=0,StoreCardMinPayment,0)+IF($L$29&lt;=0,CreditUnionVisaMinPayment,0)+IF($Q$29&lt;=0,PersonalLoanMinPayment,0)+IF($V$29&lt;=0,UsedAutoLoanMinPayment,0)+IF($AA$29&lt;=0,MedicalPlanMinPayment,0),2)</f>
        <v>514.0</v>
      </c>
      <c r="AE30" s="18" t="str">
        <f>IF($F$30&gt;0,Inputs!A6,IF($K$30&gt;0,Inputs!A7,IF($P$30&gt;0,Inputs!A8,IF($U$30&gt;0,Inputs!A9,IF($Z$30&gt;0,Inputs!A5,"")))))</f>
        <v>Personal Loan</v>
      </c>
      <c r="AF30" s="13">
        <f>ROUND(SUM($D$30,$I$30,$N$30,$S$30,$X$30),2)</f>
        <v>34.18</v>
      </c>
      <c r="AG30" s="13">
        <f>ROUND(SUM($G$30,$L$30,$Q$30,$V$30,$AA$30),2)</f>
        <v>5119.64</v>
      </c>
    </row>
    <row r="31" spans="1:33">
      <c r="A31" s="17">
        <f>ROW()-3</f>
        <v>27</v>
      </c>
      <c r="B31" s="18" t="str">
        <f>TEXT(EDATE(StartDate,A31-1),"mmm yyyy")</f>
        <v>Jun 2028</v>
      </c>
      <c r="C31" s="13">
        <f>$G$30</f>
        <v>0.0</v>
      </c>
      <c r="D31" s="13">
        <f>ROUND(IF($C$31&lt;=0,0,$C$31*StoreCardAPR/12),2)</f>
        <v>0.0</v>
      </c>
      <c r="E31" s="13">
        <f>ROUND(IF($C$31&lt;=0,0,MIN(StoreCardMinPayment,$C$31+$D$31)),2)</f>
        <v>0.0</v>
      </c>
      <c r="F31" s="13">
        <f>ROUND(IF($C$31&lt;=0,0,MIN(MAX(0,$C$31+$D$31-$E$31),MAX(0,$AD$31))),2)</f>
        <v>0.0</v>
      </c>
      <c r="G31" s="13">
        <f>ROUND(MAX(0,$C$31+$D$31-$E$31-$F$31),2)</f>
        <v>0.0</v>
      </c>
      <c r="H31" s="13">
        <f>$L$30</f>
        <v>0.0</v>
      </c>
      <c r="I31" s="13">
        <f>ROUND(IF($H$31&lt;=0,0,$H$31*CreditUnionVisaAPR/12),2)</f>
        <v>0.0</v>
      </c>
      <c r="J31" s="13">
        <f>ROUND(IF($H$31&lt;=0,0,MIN(CreditUnionVisaMinPayment,$H$31+$I$31)),2)</f>
        <v>0.0</v>
      </c>
      <c r="K31" s="13">
        <f>ROUND(IF($H$31&lt;=0,0,MIN(MAX(0,$H$31+$I$31-$J$31),MAX(0,$AD$31-$F$31))),2)</f>
        <v>0.0</v>
      </c>
      <c r="L31" s="13">
        <f>ROUND(MAX(0,$H$31+$I$31-$J$31-$K$31),2)</f>
        <v>0.0</v>
      </c>
      <c r="M31" s="13">
        <f>$Q$30</f>
        <v>0.0</v>
      </c>
      <c r="N31" s="13">
        <f>ROUND(IF($M$31&lt;=0,0,$M$31*PersonalLoanAPR/12),2)</f>
        <v>0.0</v>
      </c>
      <c r="O31" s="13">
        <f>ROUND(IF($M$31&lt;=0,0,MIN(PersonalLoanMinPayment,$M$31+$N$31)),2)</f>
        <v>0.0</v>
      </c>
      <c r="P31" s="13">
        <f>ROUND(IF($M$31&lt;=0,0,MIN(MAX(0,$M$31+$N$31-$O$31),MAX(0,$AD$31-$F$31-$K$31))),2)</f>
        <v>0.0</v>
      </c>
      <c r="Q31" s="13">
        <f>ROUND(MAX(0,$M$31+$N$31-$O$31-$P$31),2)</f>
        <v>0.0</v>
      </c>
      <c r="R31" s="13">
        <f>$V$30</f>
        <v>5119.64</v>
      </c>
      <c r="S31" s="13">
        <f>ROUND(IF($R$31&lt;=0,0,$R$31*UsedAutoLoanAPR/12),2)</f>
        <v>26.62</v>
      </c>
      <c r="T31" s="13">
        <f>ROUND(IF($R$31&lt;=0,0,MIN(UsedAutoLoanMinPayment,$R$31+$S$31)),2)</f>
        <v>212.0</v>
      </c>
      <c r="U31" s="13">
        <f>ROUND(IF($R$31&lt;=0,0,MIN(MAX(0,$R$31+$S$31-$T$31),MAX(0,$AD$31-$F$31-$K$31-$P$31))),2)</f>
        <v>688.0</v>
      </c>
      <c r="V31" s="13">
        <f>ROUND(MAX(0,$R$31+$S$31-$T$31-$U$31),2)</f>
        <v>4246.26</v>
      </c>
      <c r="W31" s="13">
        <f>$AA$30</f>
        <v>0.0</v>
      </c>
      <c r="X31" s="13">
        <f>ROUND(IF($W$31&lt;=0,0,$W$31*MedicalPlanAPR/12),2)</f>
        <v>0.0</v>
      </c>
      <c r="Y31" s="13">
        <f>ROUND(IF($W$31&lt;=0,0,MIN(MedicalPlanMinPayment,$W$31+$X$31)),2)</f>
        <v>0.0</v>
      </c>
      <c r="Z31" s="13">
        <f>ROUND(IF($W$31&lt;=0,0,MIN(MAX(0,$W$31+$X$31-$Y$31),MAX(0,$AD$31-$F$31-$K$31-$P$31-$U$31))),2)</f>
        <v>0.0</v>
      </c>
      <c r="AA31" s="13">
        <f>ROUND(MAX(0,$W$31+$X$31-$Y$31-$Z$31),2)</f>
        <v>0.0</v>
      </c>
      <c r="AB31" s="13">
        <f>ROUND(EarlyWindfallBaseExtra+EarlyWindfallPermanentLift+IF(A31&lt;=EarlyWindfallTempMonths,EarlyWindfallTempBoost,0),2)</f>
        <v>190.0</v>
      </c>
      <c r="AC31" s="13">
        <f>IF(A31=EarlyWindfallWindfallMonth,EarlyWindfallWindfall,0)</f>
        <v>0.0</v>
      </c>
      <c r="AD31" s="13">
        <f>ROUND($AB$31+$AC$31+IF($G$30&lt;=0,StoreCardMinPayment,0)+IF($L$30&lt;=0,CreditUnionVisaMinPayment,0)+IF($Q$30&lt;=0,PersonalLoanMinPayment,0)+IF($V$30&lt;=0,UsedAutoLoanMinPayment,0)+IF($AA$30&lt;=0,MedicalPlanMinPayment,0),2)</f>
        <v>688.0</v>
      </c>
      <c r="AE31" s="18" t="str">
        <f>IF($F$31&gt;0,Inputs!A6,IF($K$31&gt;0,Inputs!A7,IF($P$31&gt;0,Inputs!A8,IF($U$31&gt;0,Inputs!A9,IF($Z$31&gt;0,Inputs!A5,"")))))</f>
        <v>Used Auto Loan</v>
      </c>
      <c r="AF31" s="13">
        <f>ROUND(SUM($D$31,$I$31,$N$31,$S$31,$X$31),2)</f>
        <v>26.62</v>
      </c>
      <c r="AG31" s="13">
        <f>ROUND(SUM($G$31,$L$31,$Q$31,$V$31,$AA$31),2)</f>
        <v>4246.26</v>
      </c>
    </row>
    <row r="32" spans="1:33">
      <c r="A32" s="17">
        <f>ROW()-3</f>
        <v>28</v>
      </c>
      <c r="B32" s="18" t="str">
        <f>TEXT(EDATE(StartDate,A32-1),"mmm yyyy")</f>
        <v>Jul 2028</v>
      </c>
      <c r="C32" s="13">
        <f>$G$31</f>
        <v>0.0</v>
      </c>
      <c r="D32" s="13">
        <f>ROUND(IF($C$32&lt;=0,0,$C$32*StoreCardAPR/12),2)</f>
        <v>0.0</v>
      </c>
      <c r="E32" s="13">
        <f>ROUND(IF($C$32&lt;=0,0,MIN(StoreCardMinPayment,$C$32+$D$32)),2)</f>
        <v>0.0</v>
      </c>
      <c r="F32" s="13">
        <f>ROUND(IF($C$32&lt;=0,0,MIN(MAX(0,$C$32+$D$32-$E$32),MAX(0,$AD$32))),2)</f>
        <v>0.0</v>
      </c>
      <c r="G32" s="13">
        <f>ROUND(MAX(0,$C$32+$D$32-$E$32-$F$32),2)</f>
        <v>0.0</v>
      </c>
      <c r="H32" s="13">
        <f>$L$31</f>
        <v>0.0</v>
      </c>
      <c r="I32" s="13">
        <f>ROUND(IF($H$32&lt;=0,0,$H$32*CreditUnionVisaAPR/12),2)</f>
        <v>0.0</v>
      </c>
      <c r="J32" s="13">
        <f>ROUND(IF($H$32&lt;=0,0,MIN(CreditUnionVisaMinPayment,$H$32+$I$32)),2)</f>
        <v>0.0</v>
      </c>
      <c r="K32" s="13">
        <f>ROUND(IF($H$32&lt;=0,0,MIN(MAX(0,$H$32+$I$32-$J$32),MAX(0,$AD$32-$F$32))),2)</f>
        <v>0.0</v>
      </c>
      <c r="L32" s="13">
        <f>ROUND(MAX(0,$H$32+$I$32-$J$32-$K$32),2)</f>
        <v>0.0</v>
      </c>
      <c r="M32" s="13">
        <f>$Q$31</f>
        <v>0.0</v>
      </c>
      <c r="N32" s="13">
        <f>ROUND(IF($M$32&lt;=0,0,$M$32*PersonalLoanAPR/12),2)</f>
        <v>0.0</v>
      </c>
      <c r="O32" s="13">
        <f>ROUND(IF($M$32&lt;=0,0,MIN(PersonalLoanMinPayment,$M$32+$N$32)),2)</f>
        <v>0.0</v>
      </c>
      <c r="P32" s="13">
        <f>ROUND(IF($M$32&lt;=0,0,MIN(MAX(0,$M$32+$N$32-$O$32),MAX(0,$AD$32-$F$32-$K$32))),2)</f>
        <v>0.0</v>
      </c>
      <c r="Q32" s="13">
        <f>ROUND(MAX(0,$M$32+$N$32-$O$32-$P$32),2)</f>
        <v>0.0</v>
      </c>
      <c r="R32" s="13">
        <f>$V$31</f>
        <v>4246.26</v>
      </c>
      <c r="S32" s="13">
        <f>ROUND(IF($R$32&lt;=0,0,$R$32*UsedAutoLoanAPR/12),2)</f>
        <v>22.08</v>
      </c>
      <c r="T32" s="13">
        <f>ROUND(IF($R$32&lt;=0,0,MIN(UsedAutoLoanMinPayment,$R$32+$S$32)),2)</f>
        <v>212.0</v>
      </c>
      <c r="U32" s="13">
        <f>ROUND(IF($R$32&lt;=0,0,MIN(MAX(0,$R$32+$S$32-$T$32),MAX(0,$AD$32-$F$32-$K$32-$P$32))),2)</f>
        <v>688.0</v>
      </c>
      <c r="V32" s="13">
        <f>ROUND(MAX(0,$R$32+$S$32-$T$32-$U$32),2)</f>
        <v>3368.34</v>
      </c>
      <c r="W32" s="13">
        <f>$AA$31</f>
        <v>0.0</v>
      </c>
      <c r="X32" s="13">
        <f>ROUND(IF($W$32&lt;=0,0,$W$32*MedicalPlanAPR/12),2)</f>
        <v>0.0</v>
      </c>
      <c r="Y32" s="13">
        <f>ROUND(IF($W$32&lt;=0,0,MIN(MedicalPlanMinPayment,$W$32+$X$32)),2)</f>
        <v>0.0</v>
      </c>
      <c r="Z32" s="13">
        <f>ROUND(IF($W$32&lt;=0,0,MIN(MAX(0,$W$32+$X$32-$Y$32),MAX(0,$AD$32-$F$32-$K$32-$P$32-$U$32))),2)</f>
        <v>0.0</v>
      </c>
      <c r="AA32" s="13">
        <f>ROUND(MAX(0,$W$32+$X$32-$Y$32-$Z$32),2)</f>
        <v>0.0</v>
      </c>
      <c r="AB32" s="13">
        <f>ROUND(EarlyWindfallBaseExtra+EarlyWindfallPermanentLift+IF(A32&lt;=EarlyWindfallTempMonths,EarlyWindfallTempBoost,0),2)</f>
        <v>190.0</v>
      </c>
      <c r="AC32" s="13">
        <f>IF(A32=EarlyWindfallWindfallMonth,EarlyWindfallWindfall,0)</f>
        <v>0.0</v>
      </c>
      <c r="AD32" s="13">
        <f>ROUND($AB$32+$AC$32+IF($G$31&lt;=0,StoreCardMinPayment,0)+IF($L$31&lt;=0,CreditUnionVisaMinPayment,0)+IF($Q$31&lt;=0,PersonalLoanMinPayment,0)+IF($V$31&lt;=0,UsedAutoLoanMinPayment,0)+IF($AA$31&lt;=0,MedicalPlanMinPayment,0),2)</f>
        <v>688.0</v>
      </c>
      <c r="AE32" s="18" t="str">
        <f>IF($F$32&gt;0,Inputs!A6,IF($K$32&gt;0,Inputs!A7,IF($P$32&gt;0,Inputs!A8,IF($U$32&gt;0,Inputs!A9,IF($Z$32&gt;0,Inputs!A5,"")))))</f>
        <v>Used Auto Loan</v>
      </c>
      <c r="AF32" s="13">
        <f>ROUND(SUM($D$32,$I$32,$N$32,$S$32,$X$32),2)</f>
        <v>22.08</v>
      </c>
      <c r="AG32" s="13">
        <f>ROUND(SUM($G$32,$L$32,$Q$32,$V$32,$AA$32),2)</f>
        <v>3368.34</v>
      </c>
    </row>
    <row r="33" spans="1:33">
      <c r="A33" s="17">
        <f>ROW()-3</f>
        <v>29</v>
      </c>
      <c r="B33" s="18" t="str">
        <f>TEXT(EDATE(StartDate,A33-1),"mmm yyyy")</f>
        <v>Aug 2028</v>
      </c>
      <c r="C33" s="13">
        <f>$G$32</f>
        <v>0.0</v>
      </c>
      <c r="D33" s="13">
        <f>ROUND(IF($C$33&lt;=0,0,$C$33*StoreCardAPR/12),2)</f>
        <v>0.0</v>
      </c>
      <c r="E33" s="13">
        <f>ROUND(IF($C$33&lt;=0,0,MIN(StoreCardMinPayment,$C$33+$D$33)),2)</f>
        <v>0.0</v>
      </c>
      <c r="F33" s="13">
        <f>ROUND(IF($C$33&lt;=0,0,MIN(MAX(0,$C$33+$D$33-$E$33),MAX(0,$AD$33))),2)</f>
        <v>0.0</v>
      </c>
      <c r="G33" s="13">
        <f>ROUND(MAX(0,$C$33+$D$33-$E$33-$F$33),2)</f>
        <v>0.0</v>
      </c>
      <c r="H33" s="13">
        <f>$L$32</f>
        <v>0.0</v>
      </c>
      <c r="I33" s="13">
        <f>ROUND(IF($H$33&lt;=0,0,$H$33*CreditUnionVisaAPR/12),2)</f>
        <v>0.0</v>
      </c>
      <c r="J33" s="13">
        <f>ROUND(IF($H$33&lt;=0,0,MIN(CreditUnionVisaMinPayment,$H$33+$I$33)),2)</f>
        <v>0.0</v>
      </c>
      <c r="K33" s="13">
        <f>ROUND(IF($H$33&lt;=0,0,MIN(MAX(0,$H$33+$I$33-$J$33),MAX(0,$AD$33-$F$33))),2)</f>
        <v>0.0</v>
      </c>
      <c r="L33" s="13">
        <f>ROUND(MAX(0,$H$33+$I$33-$J$33-$K$33),2)</f>
        <v>0.0</v>
      </c>
      <c r="M33" s="13">
        <f>$Q$32</f>
        <v>0.0</v>
      </c>
      <c r="N33" s="13">
        <f>ROUND(IF($M$33&lt;=0,0,$M$33*PersonalLoanAPR/12),2)</f>
        <v>0.0</v>
      </c>
      <c r="O33" s="13">
        <f>ROUND(IF($M$33&lt;=0,0,MIN(PersonalLoanMinPayment,$M$33+$N$33)),2)</f>
        <v>0.0</v>
      </c>
      <c r="P33" s="13">
        <f>ROUND(IF($M$33&lt;=0,0,MIN(MAX(0,$M$33+$N$33-$O$33),MAX(0,$AD$33-$F$33-$K$33))),2)</f>
        <v>0.0</v>
      </c>
      <c r="Q33" s="13">
        <f>ROUND(MAX(0,$M$33+$N$33-$O$33-$P$33),2)</f>
        <v>0.0</v>
      </c>
      <c r="R33" s="13">
        <f>$V$32</f>
        <v>3368.34</v>
      </c>
      <c r="S33" s="13">
        <f>ROUND(IF($R$33&lt;=0,0,$R$33*UsedAutoLoanAPR/12),2)</f>
        <v>17.52</v>
      </c>
      <c r="T33" s="13">
        <f>ROUND(IF($R$33&lt;=0,0,MIN(UsedAutoLoanMinPayment,$R$33+$S$33)),2)</f>
        <v>212.0</v>
      </c>
      <c r="U33" s="13">
        <f>ROUND(IF($R$33&lt;=0,0,MIN(MAX(0,$R$33+$S$33-$T$33),MAX(0,$AD$33-$F$33-$K$33-$P$33))),2)</f>
        <v>688.0</v>
      </c>
      <c r="V33" s="13">
        <f>ROUND(MAX(0,$R$33+$S$33-$T$33-$U$33),2)</f>
        <v>2485.86</v>
      </c>
      <c r="W33" s="13">
        <f>$AA$32</f>
        <v>0.0</v>
      </c>
      <c r="X33" s="13">
        <f>ROUND(IF($W$33&lt;=0,0,$W$33*MedicalPlanAPR/12),2)</f>
        <v>0.0</v>
      </c>
      <c r="Y33" s="13">
        <f>ROUND(IF($W$33&lt;=0,0,MIN(MedicalPlanMinPayment,$W$33+$X$33)),2)</f>
        <v>0.0</v>
      </c>
      <c r="Z33" s="13">
        <f>ROUND(IF($W$33&lt;=0,0,MIN(MAX(0,$W$33+$X$33-$Y$33),MAX(0,$AD$33-$F$33-$K$33-$P$33-$U$33))),2)</f>
        <v>0.0</v>
      </c>
      <c r="AA33" s="13">
        <f>ROUND(MAX(0,$W$33+$X$33-$Y$33-$Z$33),2)</f>
        <v>0.0</v>
      </c>
      <c r="AB33" s="13">
        <f>ROUND(EarlyWindfallBaseExtra+EarlyWindfallPermanentLift+IF(A33&lt;=EarlyWindfallTempMonths,EarlyWindfallTempBoost,0),2)</f>
        <v>190.0</v>
      </c>
      <c r="AC33" s="13">
        <f>IF(A33=EarlyWindfallWindfallMonth,EarlyWindfallWindfall,0)</f>
        <v>0.0</v>
      </c>
      <c r="AD33" s="13">
        <f>ROUND($AB$33+$AC$33+IF($G$32&lt;=0,StoreCardMinPayment,0)+IF($L$32&lt;=0,CreditUnionVisaMinPayment,0)+IF($Q$32&lt;=0,PersonalLoanMinPayment,0)+IF($V$32&lt;=0,UsedAutoLoanMinPayment,0)+IF($AA$32&lt;=0,MedicalPlanMinPayment,0),2)</f>
        <v>688.0</v>
      </c>
      <c r="AE33" s="18" t="str">
        <f>IF($F$33&gt;0,Inputs!A6,IF($K$33&gt;0,Inputs!A7,IF($P$33&gt;0,Inputs!A8,IF($U$33&gt;0,Inputs!A9,IF($Z$33&gt;0,Inputs!A5,"")))))</f>
        <v>Used Auto Loan</v>
      </c>
      <c r="AF33" s="13">
        <f>ROUND(SUM($D$33,$I$33,$N$33,$S$33,$X$33),2)</f>
        <v>17.52</v>
      </c>
      <c r="AG33" s="13">
        <f>ROUND(SUM($G$33,$L$33,$Q$33,$V$33,$AA$33),2)</f>
        <v>2485.86</v>
      </c>
    </row>
    <row r="34" spans="1:33">
      <c r="A34" s="17">
        <f>ROW()-3</f>
        <v>30</v>
      </c>
      <c r="B34" s="18" t="str">
        <f>TEXT(EDATE(StartDate,A34-1),"mmm yyyy")</f>
        <v>Sep 2028</v>
      </c>
      <c r="C34" s="13">
        <f>$G$33</f>
        <v>0.0</v>
      </c>
      <c r="D34" s="13">
        <f>ROUND(IF($C$34&lt;=0,0,$C$34*StoreCardAPR/12),2)</f>
        <v>0.0</v>
      </c>
      <c r="E34" s="13">
        <f>ROUND(IF($C$34&lt;=0,0,MIN(StoreCardMinPayment,$C$34+$D$34)),2)</f>
        <v>0.0</v>
      </c>
      <c r="F34" s="13">
        <f>ROUND(IF($C$34&lt;=0,0,MIN(MAX(0,$C$34+$D$34-$E$34),MAX(0,$AD$34))),2)</f>
        <v>0.0</v>
      </c>
      <c r="G34" s="13">
        <f>ROUND(MAX(0,$C$34+$D$34-$E$34-$F$34),2)</f>
        <v>0.0</v>
      </c>
      <c r="H34" s="13">
        <f>$L$33</f>
        <v>0.0</v>
      </c>
      <c r="I34" s="13">
        <f>ROUND(IF($H$34&lt;=0,0,$H$34*CreditUnionVisaAPR/12),2)</f>
        <v>0.0</v>
      </c>
      <c r="J34" s="13">
        <f>ROUND(IF($H$34&lt;=0,0,MIN(CreditUnionVisaMinPayment,$H$34+$I$34)),2)</f>
        <v>0.0</v>
      </c>
      <c r="K34" s="13">
        <f>ROUND(IF($H$34&lt;=0,0,MIN(MAX(0,$H$34+$I$34-$J$34),MAX(0,$AD$34-$F$34))),2)</f>
        <v>0.0</v>
      </c>
      <c r="L34" s="13">
        <f>ROUND(MAX(0,$H$34+$I$34-$J$34-$K$34),2)</f>
        <v>0.0</v>
      </c>
      <c r="M34" s="13">
        <f>$Q$33</f>
        <v>0.0</v>
      </c>
      <c r="N34" s="13">
        <f>ROUND(IF($M$34&lt;=0,0,$M$34*PersonalLoanAPR/12),2)</f>
        <v>0.0</v>
      </c>
      <c r="O34" s="13">
        <f>ROUND(IF($M$34&lt;=0,0,MIN(PersonalLoanMinPayment,$M$34+$N$34)),2)</f>
        <v>0.0</v>
      </c>
      <c r="P34" s="13">
        <f>ROUND(IF($M$34&lt;=0,0,MIN(MAX(0,$M$34+$N$34-$O$34),MAX(0,$AD$34-$F$34-$K$34))),2)</f>
        <v>0.0</v>
      </c>
      <c r="Q34" s="13">
        <f>ROUND(MAX(0,$M$34+$N$34-$O$34-$P$34),2)</f>
        <v>0.0</v>
      </c>
      <c r="R34" s="13">
        <f>$V$33</f>
        <v>2485.86</v>
      </c>
      <c r="S34" s="13">
        <f>ROUND(IF($R$34&lt;=0,0,$R$34*UsedAutoLoanAPR/12),2)</f>
        <v>12.93</v>
      </c>
      <c r="T34" s="13">
        <f>ROUND(IF($R$34&lt;=0,0,MIN(UsedAutoLoanMinPayment,$R$34+$S$34)),2)</f>
        <v>212.0</v>
      </c>
      <c r="U34" s="13">
        <f>ROUND(IF($R$34&lt;=0,0,MIN(MAX(0,$R$34+$S$34-$T$34),MAX(0,$AD$34-$F$34-$K$34-$P$34))),2)</f>
        <v>688.0</v>
      </c>
      <c r="V34" s="13">
        <f>ROUND(MAX(0,$R$34+$S$34-$T$34-$U$34),2)</f>
        <v>1598.79</v>
      </c>
      <c r="W34" s="13">
        <f>$AA$33</f>
        <v>0.0</v>
      </c>
      <c r="X34" s="13">
        <f>ROUND(IF($W$34&lt;=0,0,$W$34*MedicalPlanAPR/12),2)</f>
        <v>0.0</v>
      </c>
      <c r="Y34" s="13">
        <f>ROUND(IF($W$34&lt;=0,0,MIN(MedicalPlanMinPayment,$W$34+$X$34)),2)</f>
        <v>0.0</v>
      </c>
      <c r="Z34" s="13">
        <f>ROUND(IF($W$34&lt;=0,0,MIN(MAX(0,$W$34+$X$34-$Y$34),MAX(0,$AD$34-$F$34-$K$34-$P$34-$U$34))),2)</f>
        <v>0.0</v>
      </c>
      <c r="AA34" s="13">
        <f>ROUND(MAX(0,$W$34+$X$34-$Y$34-$Z$34),2)</f>
        <v>0.0</v>
      </c>
      <c r="AB34" s="13">
        <f>ROUND(EarlyWindfallBaseExtra+EarlyWindfallPermanentLift+IF(A34&lt;=EarlyWindfallTempMonths,EarlyWindfallTempBoost,0),2)</f>
        <v>190.0</v>
      </c>
      <c r="AC34" s="13">
        <f>IF(A34=EarlyWindfallWindfallMonth,EarlyWindfallWindfall,0)</f>
        <v>0.0</v>
      </c>
      <c r="AD34" s="13">
        <f>ROUND($AB$34+$AC$34+IF($G$33&lt;=0,StoreCardMinPayment,0)+IF($L$33&lt;=0,CreditUnionVisaMinPayment,0)+IF($Q$33&lt;=0,PersonalLoanMinPayment,0)+IF($V$33&lt;=0,UsedAutoLoanMinPayment,0)+IF($AA$33&lt;=0,MedicalPlanMinPayment,0),2)</f>
        <v>688.0</v>
      </c>
      <c r="AE34" s="18" t="str">
        <f>IF($F$34&gt;0,Inputs!A6,IF($K$34&gt;0,Inputs!A7,IF($P$34&gt;0,Inputs!A8,IF($U$34&gt;0,Inputs!A9,IF($Z$34&gt;0,Inputs!A5,"")))))</f>
        <v>Used Auto Loan</v>
      </c>
      <c r="AF34" s="13">
        <f>ROUND(SUM($D$34,$I$34,$N$34,$S$34,$X$34),2)</f>
        <v>12.93</v>
      </c>
      <c r="AG34" s="13">
        <f>ROUND(SUM($G$34,$L$34,$Q$34,$V$34,$AA$34),2)</f>
        <v>1598.79</v>
      </c>
    </row>
    <row r="35" spans="1:33">
      <c r="A35" s="17">
        <f>ROW()-3</f>
        <v>31</v>
      </c>
      <c r="B35" s="18" t="str">
        <f>TEXT(EDATE(StartDate,A35-1),"mmm yyyy")</f>
        <v>Oct 2028</v>
      </c>
      <c r="C35" s="13">
        <f>$G$34</f>
        <v>0.0</v>
      </c>
      <c r="D35" s="13">
        <f>ROUND(IF($C$35&lt;=0,0,$C$35*StoreCardAPR/12),2)</f>
        <v>0.0</v>
      </c>
      <c r="E35" s="13">
        <f>ROUND(IF($C$35&lt;=0,0,MIN(StoreCardMinPayment,$C$35+$D$35)),2)</f>
        <v>0.0</v>
      </c>
      <c r="F35" s="13">
        <f>ROUND(IF($C$35&lt;=0,0,MIN(MAX(0,$C$35+$D$35-$E$35),MAX(0,$AD$35))),2)</f>
        <v>0.0</v>
      </c>
      <c r="G35" s="13">
        <f>ROUND(MAX(0,$C$35+$D$35-$E$35-$F$35),2)</f>
        <v>0.0</v>
      </c>
      <c r="H35" s="13">
        <f>$L$34</f>
        <v>0.0</v>
      </c>
      <c r="I35" s="13">
        <f>ROUND(IF($H$35&lt;=0,0,$H$35*CreditUnionVisaAPR/12),2)</f>
        <v>0.0</v>
      </c>
      <c r="J35" s="13">
        <f>ROUND(IF($H$35&lt;=0,0,MIN(CreditUnionVisaMinPayment,$H$35+$I$35)),2)</f>
        <v>0.0</v>
      </c>
      <c r="K35" s="13">
        <f>ROUND(IF($H$35&lt;=0,0,MIN(MAX(0,$H$35+$I$35-$J$35),MAX(0,$AD$35-$F$35))),2)</f>
        <v>0.0</v>
      </c>
      <c r="L35" s="13">
        <f>ROUND(MAX(0,$H$35+$I$35-$J$35-$K$35),2)</f>
        <v>0.0</v>
      </c>
      <c r="M35" s="13">
        <f>$Q$34</f>
        <v>0.0</v>
      </c>
      <c r="N35" s="13">
        <f>ROUND(IF($M$35&lt;=0,0,$M$35*PersonalLoanAPR/12),2)</f>
        <v>0.0</v>
      </c>
      <c r="O35" s="13">
        <f>ROUND(IF($M$35&lt;=0,0,MIN(PersonalLoanMinPayment,$M$35+$N$35)),2)</f>
        <v>0.0</v>
      </c>
      <c r="P35" s="13">
        <f>ROUND(IF($M$35&lt;=0,0,MIN(MAX(0,$M$35+$N$35-$O$35),MAX(0,$AD$35-$F$35-$K$35))),2)</f>
        <v>0.0</v>
      </c>
      <c r="Q35" s="13">
        <f>ROUND(MAX(0,$M$35+$N$35-$O$35-$P$35),2)</f>
        <v>0.0</v>
      </c>
      <c r="R35" s="13">
        <f>$V$34</f>
        <v>1598.79</v>
      </c>
      <c r="S35" s="13">
        <f>ROUND(IF($R$35&lt;=0,0,$R$35*UsedAutoLoanAPR/12),2)</f>
        <v>8.31</v>
      </c>
      <c r="T35" s="13">
        <f>ROUND(IF($R$35&lt;=0,0,MIN(UsedAutoLoanMinPayment,$R$35+$S$35)),2)</f>
        <v>212.0</v>
      </c>
      <c r="U35" s="13">
        <f>ROUND(IF($R$35&lt;=0,0,MIN(MAX(0,$R$35+$S$35-$T$35),MAX(0,$AD$35-$F$35-$K$35-$P$35))),2)</f>
        <v>688.0</v>
      </c>
      <c r="V35" s="13">
        <f>ROUND(MAX(0,$R$35+$S$35-$T$35-$U$35),2)</f>
        <v>707.1</v>
      </c>
      <c r="W35" s="13">
        <f>$AA$34</f>
        <v>0.0</v>
      </c>
      <c r="X35" s="13">
        <f>ROUND(IF($W$35&lt;=0,0,$W$35*MedicalPlanAPR/12),2)</f>
        <v>0.0</v>
      </c>
      <c r="Y35" s="13">
        <f>ROUND(IF($W$35&lt;=0,0,MIN(MedicalPlanMinPayment,$W$35+$X$35)),2)</f>
        <v>0.0</v>
      </c>
      <c r="Z35" s="13">
        <f>ROUND(IF($W$35&lt;=0,0,MIN(MAX(0,$W$35+$X$35-$Y$35),MAX(0,$AD$35-$F$35-$K$35-$P$35-$U$35))),2)</f>
        <v>0.0</v>
      </c>
      <c r="AA35" s="13">
        <f>ROUND(MAX(0,$W$35+$X$35-$Y$35-$Z$35),2)</f>
        <v>0.0</v>
      </c>
      <c r="AB35" s="13">
        <f>ROUND(EarlyWindfallBaseExtra+EarlyWindfallPermanentLift+IF(A35&lt;=EarlyWindfallTempMonths,EarlyWindfallTempBoost,0),2)</f>
        <v>190.0</v>
      </c>
      <c r="AC35" s="13">
        <f>IF(A35=EarlyWindfallWindfallMonth,EarlyWindfallWindfall,0)</f>
        <v>0.0</v>
      </c>
      <c r="AD35" s="13">
        <f>ROUND($AB$35+$AC$35+IF($G$34&lt;=0,StoreCardMinPayment,0)+IF($L$34&lt;=0,CreditUnionVisaMinPayment,0)+IF($Q$34&lt;=0,PersonalLoanMinPayment,0)+IF($V$34&lt;=0,UsedAutoLoanMinPayment,0)+IF($AA$34&lt;=0,MedicalPlanMinPayment,0),2)</f>
        <v>688.0</v>
      </c>
      <c r="AE35" s="18" t="str">
        <f>IF($F$35&gt;0,Inputs!A6,IF($K$35&gt;0,Inputs!A7,IF($P$35&gt;0,Inputs!A8,IF($U$35&gt;0,Inputs!A9,IF($Z$35&gt;0,Inputs!A5,"")))))</f>
        <v>Used Auto Loan</v>
      </c>
      <c r="AF35" s="13">
        <f>ROUND(SUM($D$35,$I$35,$N$35,$S$35,$X$35),2)</f>
        <v>8.31</v>
      </c>
      <c r="AG35" s="13">
        <f>ROUND(SUM($G$35,$L$35,$Q$35,$V$35,$AA$35),2)</f>
        <v>707.1</v>
      </c>
    </row>
    <row r="36" spans="1:33">
      <c r="A36" s="17">
        <f>ROW()-3</f>
        <v>32</v>
      </c>
      <c r="B36" s="18" t="str">
        <f>TEXT(EDATE(StartDate,A36-1),"mmm yyyy")</f>
        <v>Nov 2028</v>
      </c>
      <c r="C36" s="13">
        <f>$G$35</f>
        <v>0.0</v>
      </c>
      <c r="D36" s="13">
        <f>ROUND(IF($C$36&lt;=0,0,$C$36*StoreCardAPR/12),2)</f>
        <v>0.0</v>
      </c>
      <c r="E36" s="13">
        <f>ROUND(IF($C$36&lt;=0,0,MIN(StoreCardMinPayment,$C$36+$D$36)),2)</f>
        <v>0.0</v>
      </c>
      <c r="F36" s="13">
        <f>ROUND(IF($C$36&lt;=0,0,MIN(MAX(0,$C$36+$D$36-$E$36),MAX(0,$AD$36))),2)</f>
        <v>0.0</v>
      </c>
      <c r="G36" s="13">
        <f>ROUND(MAX(0,$C$36+$D$36-$E$36-$F$36),2)</f>
        <v>0.0</v>
      </c>
      <c r="H36" s="13">
        <f>$L$35</f>
        <v>0.0</v>
      </c>
      <c r="I36" s="13">
        <f>ROUND(IF($H$36&lt;=0,0,$H$36*CreditUnionVisaAPR/12),2)</f>
        <v>0.0</v>
      </c>
      <c r="J36" s="13">
        <f>ROUND(IF($H$36&lt;=0,0,MIN(CreditUnionVisaMinPayment,$H$36+$I$36)),2)</f>
        <v>0.0</v>
      </c>
      <c r="K36" s="13">
        <f>ROUND(IF($H$36&lt;=0,0,MIN(MAX(0,$H$36+$I$36-$J$36),MAX(0,$AD$36-$F$36))),2)</f>
        <v>0.0</v>
      </c>
      <c r="L36" s="13">
        <f>ROUND(MAX(0,$H$36+$I$36-$J$36-$K$36),2)</f>
        <v>0.0</v>
      </c>
      <c r="M36" s="13">
        <f>$Q$35</f>
        <v>0.0</v>
      </c>
      <c r="N36" s="13">
        <f>ROUND(IF($M$36&lt;=0,0,$M$36*PersonalLoanAPR/12),2)</f>
        <v>0.0</v>
      </c>
      <c r="O36" s="13">
        <f>ROUND(IF($M$36&lt;=0,0,MIN(PersonalLoanMinPayment,$M$36+$N$36)),2)</f>
        <v>0.0</v>
      </c>
      <c r="P36" s="13">
        <f>ROUND(IF($M$36&lt;=0,0,MIN(MAX(0,$M$36+$N$36-$O$36),MAX(0,$AD$36-$F$36-$K$36))),2)</f>
        <v>0.0</v>
      </c>
      <c r="Q36" s="13">
        <f>ROUND(MAX(0,$M$36+$N$36-$O$36-$P$36),2)</f>
        <v>0.0</v>
      </c>
      <c r="R36" s="13">
        <f>$V$35</f>
        <v>707.1</v>
      </c>
      <c r="S36" s="13">
        <f>ROUND(IF($R$36&lt;=0,0,$R$36*UsedAutoLoanAPR/12),2)</f>
        <v>3.68</v>
      </c>
      <c r="T36" s="13">
        <f>ROUND(IF($R$36&lt;=0,0,MIN(UsedAutoLoanMinPayment,$R$36+$S$36)),2)</f>
        <v>212.0</v>
      </c>
      <c r="U36" s="13">
        <f>ROUND(IF($R$36&lt;=0,0,MIN(MAX(0,$R$36+$S$36-$T$36),MAX(0,$AD$36-$F$36-$K$36-$P$36))),2)</f>
        <v>498.78</v>
      </c>
      <c r="V36" s="13">
        <f>ROUND(MAX(0,$R$36+$S$36-$T$36-$U$36),2)</f>
        <v>0.0</v>
      </c>
      <c r="W36" s="13">
        <f>$AA$35</f>
        <v>0.0</v>
      </c>
      <c r="X36" s="13">
        <f>ROUND(IF($W$36&lt;=0,0,$W$36*MedicalPlanAPR/12),2)</f>
        <v>0.0</v>
      </c>
      <c r="Y36" s="13">
        <f>ROUND(IF($W$36&lt;=0,0,MIN(MedicalPlanMinPayment,$W$36+$X$36)),2)</f>
        <v>0.0</v>
      </c>
      <c r="Z36" s="13">
        <f>ROUND(IF($W$36&lt;=0,0,MIN(MAX(0,$W$36+$X$36-$Y$36),MAX(0,$AD$36-$F$36-$K$36-$P$36-$U$36))),2)</f>
        <v>0.0</v>
      </c>
      <c r="AA36" s="13">
        <f>ROUND(MAX(0,$W$36+$X$36-$Y$36-$Z$36),2)</f>
        <v>0.0</v>
      </c>
      <c r="AB36" s="13">
        <f>ROUND(EarlyWindfallBaseExtra+EarlyWindfallPermanentLift+IF(A36&lt;=EarlyWindfallTempMonths,EarlyWindfallTempBoost,0),2)</f>
        <v>190.0</v>
      </c>
      <c r="AC36" s="13">
        <f>IF(A36=EarlyWindfallWindfallMonth,EarlyWindfallWindfall,0)</f>
        <v>0.0</v>
      </c>
      <c r="AD36" s="13">
        <f>ROUND($AB$36+$AC$36+IF($G$35&lt;=0,StoreCardMinPayment,0)+IF($L$35&lt;=0,CreditUnionVisaMinPayment,0)+IF($Q$35&lt;=0,PersonalLoanMinPayment,0)+IF($V$35&lt;=0,UsedAutoLoanMinPayment,0)+IF($AA$35&lt;=0,MedicalPlanMinPayment,0),2)</f>
        <v>688.0</v>
      </c>
      <c r="AE36" s="18" t="str">
        <f>IF($F$36&gt;0,Inputs!A6,IF($K$36&gt;0,Inputs!A7,IF($P$36&gt;0,Inputs!A8,IF($U$36&gt;0,Inputs!A9,IF($Z$36&gt;0,Inputs!A5,"")))))</f>
        <v>Used Auto Loan</v>
      </c>
      <c r="AF36" s="13">
        <f>ROUND(SUM($D$36,$I$36,$N$36,$S$36,$X$36),2)</f>
        <v>3.68</v>
      </c>
      <c r="AG36" s="13">
        <f>ROUND(SUM($G$36,$L$36,$Q$36,$V$36,$AA$36),2)</f>
        <v>0.0</v>
      </c>
    </row>
  </sheetData>
  <mergeCells count="8">
    <mergeCell ref="A1:AG1"/>
    <mergeCell ref="C3:G3"/>
    <mergeCell ref="H3:L3"/>
    <mergeCell ref="M3:Q3"/>
    <mergeCell ref="R3:V3"/>
    <mergeCell ref="W3:AA3"/>
    <mergeCell ref="A2:AG2"/>
    <mergeCell ref="A3:B3"/>
  </mergeCells>
  <pageMargins left="0.7" right="0.7" top="0.75" bottom="0.75" header="0.3" footer="0.3"/>
  <headerFooter>
    <oddFooter>&amp;LFast Payoff Windfall Timing&amp;CDebtPayoffSpreadsheet.org&amp;Rv1.0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G37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9.7109375" customWidth="1"/>
    <col min="2" max="27" width="12.7109375" customWidth="1"/>
    <col min="28" max="33" width="14.7109375" customWidth="1"/>
  </cols>
  <sheetData>
    <row r="1" spans="1:33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>
      <c r="A2" s="1" t="s">
        <v>60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>
      <c r="A3" s="12" t="s">
        <v>67</v>
      </c>
      <c r="B3" s="12"/>
      <c r="C3" s="12" t="s">
        <v>33</v>
      </c>
      <c r="D3" s="12"/>
      <c r="E3" s="12"/>
      <c r="F3" s="12"/>
      <c r="G3" s="12"/>
      <c r="H3" s="12" t="s">
        <v>36</v>
      </c>
      <c r="I3" s="12"/>
      <c r="J3" s="12"/>
      <c r="K3" s="12"/>
      <c r="L3" s="12"/>
      <c r="M3" s="12" t="s">
        <v>38</v>
      </c>
      <c r="N3" s="12"/>
      <c r="O3" s="12"/>
      <c r="P3" s="12"/>
      <c r="Q3" s="12"/>
      <c r="R3" s="12" t="s">
        <v>41</v>
      </c>
      <c r="S3" s="12"/>
      <c r="T3" s="12"/>
      <c r="U3" s="12"/>
      <c r="V3" s="12"/>
      <c r="W3" s="12" t="s">
        <v>30</v>
      </c>
      <c r="X3" s="12"/>
      <c r="Y3" s="12"/>
      <c r="Z3" s="12"/>
      <c r="AA3" s="12"/>
    </row>
    <row r="4" spans="1:33">
      <c r="A4" s="7" t="s">
        <v>68</v>
      </c>
      <c r="B4" s="7" t="s">
        <v>69</v>
      </c>
      <c r="C4" s="7" t="s">
        <v>62</v>
      </c>
      <c r="D4" s="7" t="s">
        <v>63</v>
      </c>
      <c r="E4" s="7" t="s">
        <v>64</v>
      </c>
      <c r="F4" s="7" t="s">
        <v>65</v>
      </c>
      <c r="G4" s="7" t="s">
        <v>66</v>
      </c>
      <c r="H4" s="7" t="s">
        <v>62</v>
      </c>
      <c r="I4" s="7" t="s">
        <v>63</v>
      </c>
      <c r="J4" s="7" t="s">
        <v>64</v>
      </c>
      <c r="K4" s="7" t="s">
        <v>65</v>
      </c>
      <c r="L4" s="7" t="s">
        <v>66</v>
      </c>
      <c r="M4" s="7" t="s">
        <v>62</v>
      </c>
      <c r="N4" s="7" t="s">
        <v>63</v>
      </c>
      <c r="O4" s="7" t="s">
        <v>64</v>
      </c>
      <c r="P4" s="7" t="s">
        <v>65</v>
      </c>
      <c r="Q4" s="7" t="s">
        <v>66</v>
      </c>
      <c r="R4" s="7" t="s">
        <v>62</v>
      </c>
      <c r="S4" s="7" t="s">
        <v>63</v>
      </c>
      <c r="T4" s="7" t="s">
        <v>64</v>
      </c>
      <c r="U4" s="7" t="s">
        <v>65</v>
      </c>
      <c r="V4" s="7" t="s">
        <v>66</v>
      </c>
      <c r="W4" s="7" t="s">
        <v>62</v>
      </c>
      <c r="X4" s="7" t="s">
        <v>63</v>
      </c>
      <c r="Y4" s="7" t="s">
        <v>64</v>
      </c>
      <c r="Z4" s="7" t="s">
        <v>65</v>
      </c>
      <c r="AA4" s="7" t="s">
        <v>66</v>
      </c>
      <c r="AB4" s="7" t="s">
        <v>70</v>
      </c>
      <c r="AC4" s="7" t="s">
        <v>53</v>
      </c>
      <c r="AD4" s="7" t="s">
        <v>71</v>
      </c>
      <c r="AE4" s="7" t="s">
        <v>72</v>
      </c>
      <c r="AF4" s="7" t="s">
        <v>73</v>
      </c>
      <c r="AG4" s="7" t="s">
        <v>74</v>
      </c>
    </row>
    <row r="5" spans="1:33">
      <c r="A5" s="17">
        <f>ROW()-3</f>
        <v>1</v>
      </c>
      <c r="B5" s="18" t="str">
        <f>TEXT(EDATE(StartDate,A5-1),"mmm yyyy")</f>
        <v>Apr 2026</v>
      </c>
      <c r="C5" s="13">
        <f>StoreCardBalance</f>
        <v>2900.0</v>
      </c>
      <c r="D5" s="13">
        <f>ROUND(IF($C$5&lt;=0,0,$C$5*StoreCardAPR/12),2)</f>
        <v>70.06</v>
      </c>
      <c r="E5" s="13">
        <f>ROUND(IF($C$5&lt;=0,0,MIN(StoreCardMinPayment,$C$5+$D$5)),2)</f>
        <v>87.0</v>
      </c>
      <c r="F5" s="13">
        <f>ROUND(IF($C$5&lt;=0,0,MIN(MAX(0,$C$5+$D$5-$E$5),MAX(0,$AD$5))),2)</f>
        <v>190.0</v>
      </c>
      <c r="G5" s="13">
        <f>ROUND(MAX(0,$C$5+$D$5-$E$5-$F$5),2)</f>
        <v>2693.06</v>
      </c>
      <c r="H5" s="13">
        <f>CreditUnionVisaBalance</f>
        <v>6400.0</v>
      </c>
      <c r="I5" s="13">
        <f>ROUND(IF($H$5&lt;=0,0,$H$5*CreditUnionVisaAPR/12),2)</f>
        <v>133.28</v>
      </c>
      <c r="J5" s="13">
        <f>ROUND(IF($H$5&lt;=0,0,MIN(CreditUnionVisaMinPayment,$H$5+$I$5)),2)</f>
        <v>192.0</v>
      </c>
      <c r="K5" s="13">
        <f>ROUND(IF($H$5&lt;=0,0,MIN(MAX(0,$H$5+$I$5-$J$5),MAX(0,$AD$5-$F$5))),2)</f>
        <v>0.0</v>
      </c>
      <c r="L5" s="13">
        <f>ROUND(MAX(0,$H$5+$I$5-$J$5-$K$5),2)</f>
        <v>6341.28</v>
      </c>
      <c r="M5" s="13">
        <f>PersonalLoanBalance</f>
        <v>5800.0</v>
      </c>
      <c r="N5" s="13">
        <f>ROUND(IF($M$5&lt;=0,0,$M$5*PersonalLoanAPR/12),2)</f>
        <v>60.37</v>
      </c>
      <c r="O5" s="13">
        <f>ROUND(IF($M$5&lt;=0,0,MIN(PersonalLoanMinPayment,$M$5+$N$5)),2)</f>
        <v>174.0</v>
      </c>
      <c r="P5" s="13">
        <f>ROUND(IF($M$5&lt;=0,0,MIN(MAX(0,$M$5+$N$5-$O$5),MAX(0,$AD$5-$F$5-$K$5))),2)</f>
        <v>0.0</v>
      </c>
      <c r="Q5" s="13">
        <f>ROUND(MAX(0,$M$5+$N$5-$O$5-$P$5),2)</f>
        <v>5686.37</v>
      </c>
      <c r="R5" s="13">
        <f>UsedAutoLoanBalance</f>
        <v>9700.0</v>
      </c>
      <c r="S5" s="13">
        <f>ROUND(IF($R$5&lt;=0,0,$R$5*UsedAutoLoanAPR/12),2)</f>
        <v>50.44</v>
      </c>
      <c r="T5" s="13">
        <f>ROUND(IF($R$5&lt;=0,0,MIN(UsedAutoLoanMinPayment,$R$5+$S$5)),2)</f>
        <v>212.0</v>
      </c>
      <c r="U5" s="13">
        <f>ROUND(IF($R$5&lt;=0,0,MIN(MAX(0,$R$5+$S$5-$T$5),MAX(0,$AD$5-$F$5-$K$5-$P$5))),2)</f>
        <v>0.0</v>
      </c>
      <c r="V5" s="13">
        <f>ROUND(MAX(0,$R$5+$S$5-$T$5-$U$5),2)</f>
        <v>9538.44</v>
      </c>
      <c r="W5" s="13">
        <f>MedicalPlanBalance</f>
        <v>1100.0</v>
      </c>
      <c r="X5" s="13">
        <f>ROUND(IF($W$5&lt;=0,0,$W$5*MedicalPlanAPR/12),2)</f>
        <v>0.0</v>
      </c>
      <c r="Y5" s="13">
        <f>ROUND(IF($W$5&lt;=0,0,MIN(MedicalPlanMinPayment,$W$5+$X$5)),2)</f>
        <v>45.0</v>
      </c>
      <c r="Z5" s="13">
        <f>ROUND(IF($W$5&lt;=0,0,MIN(MAX(0,$W$5+$X$5-$Y$5),MAX(0,$AD$5-$F$5-$K$5-$P$5-$U$5))),2)</f>
        <v>0.0</v>
      </c>
      <c r="AA5" s="13">
        <f>ROUND(MAX(0,$W$5+$X$5-$Y$5-$Z$5),2)</f>
        <v>1055.0</v>
      </c>
      <c r="AB5" s="13">
        <f>ROUND(LateWindfallBaseExtra+LateWindfallPermanentLift+IF(A5&lt;=LateWindfallTempMonths,LateWindfallTempBoost,0),2)</f>
        <v>190.0</v>
      </c>
      <c r="AC5" s="13">
        <f>IF(A5=LateWindfallWindfallMonth,LateWindfallWindfall,0)</f>
        <v>0.0</v>
      </c>
      <c r="AD5" s="13">
        <f>ROUND($AB$5+$AC$5+0,2)</f>
        <v>190.0</v>
      </c>
      <c r="AE5" s="18" t="str">
        <f>IF($F$5&gt;0,Inputs!A6,IF($K$5&gt;0,Inputs!A7,IF($P$5&gt;0,Inputs!A8,IF($U$5&gt;0,Inputs!A9,IF($Z$5&gt;0,Inputs!A5,"")))))</f>
        <v>Store Card</v>
      </c>
      <c r="AF5" s="13">
        <f>ROUND(SUM($D$5,$I$5,$N$5,$S$5,$X$5),2)</f>
        <v>314.15</v>
      </c>
      <c r="AG5" s="13">
        <f>ROUND(SUM($G$5,$L$5,$Q$5,$V$5,$AA$5),2)</f>
        <v>25314.15</v>
      </c>
    </row>
    <row r="6" spans="1:33">
      <c r="A6" s="17">
        <f>ROW()-3</f>
        <v>2</v>
      </c>
      <c r="B6" s="18" t="str">
        <f>TEXT(EDATE(StartDate,A6-1),"mmm yyyy")</f>
        <v>May 2026</v>
      </c>
      <c r="C6" s="13">
        <f>$G$5</f>
        <v>2693.06</v>
      </c>
      <c r="D6" s="13">
        <f>ROUND(IF($C$6&lt;=0,0,$C$6*StoreCardAPR/12),2)</f>
        <v>65.06</v>
      </c>
      <c r="E6" s="13">
        <f>ROUND(IF($C$6&lt;=0,0,MIN(StoreCardMinPayment,$C$6+$D$6)),2)</f>
        <v>87.0</v>
      </c>
      <c r="F6" s="13">
        <f>ROUND(IF($C$6&lt;=0,0,MIN(MAX(0,$C$6+$D$6-$E$6),MAX(0,$AD$6))),2)</f>
        <v>190.0</v>
      </c>
      <c r="G6" s="13">
        <f>ROUND(MAX(0,$C$6+$D$6-$E$6-$F$6),2)</f>
        <v>2481.12</v>
      </c>
      <c r="H6" s="13">
        <f>$L$5</f>
        <v>6341.28</v>
      </c>
      <c r="I6" s="13">
        <f>ROUND(IF($H$6&lt;=0,0,$H$6*CreditUnionVisaAPR/12),2)</f>
        <v>132.06</v>
      </c>
      <c r="J6" s="13">
        <f>ROUND(IF($H$6&lt;=0,0,MIN(CreditUnionVisaMinPayment,$H$6+$I$6)),2)</f>
        <v>192.0</v>
      </c>
      <c r="K6" s="13">
        <f>ROUND(IF($H$6&lt;=0,0,MIN(MAX(0,$H$6+$I$6-$J$6),MAX(0,$AD$6-$F$6))),2)</f>
        <v>0.0</v>
      </c>
      <c r="L6" s="13">
        <f>ROUND(MAX(0,$H$6+$I$6-$J$6-$K$6),2)</f>
        <v>6281.34</v>
      </c>
      <c r="M6" s="13">
        <f>$Q$5</f>
        <v>5686.37</v>
      </c>
      <c r="N6" s="13">
        <f>ROUND(IF($M$6&lt;=0,0,$M$6*PersonalLoanAPR/12),2)</f>
        <v>59.19</v>
      </c>
      <c r="O6" s="13">
        <f>ROUND(IF($M$6&lt;=0,0,MIN(PersonalLoanMinPayment,$M$6+$N$6)),2)</f>
        <v>174.0</v>
      </c>
      <c r="P6" s="13">
        <f>ROUND(IF($M$6&lt;=0,0,MIN(MAX(0,$M$6+$N$6-$O$6),MAX(0,$AD$6-$F$6-$K$6))),2)</f>
        <v>0.0</v>
      </c>
      <c r="Q6" s="13">
        <f>ROUND(MAX(0,$M$6+$N$6-$O$6-$P$6),2)</f>
        <v>5571.56</v>
      </c>
      <c r="R6" s="13">
        <f>$V$5</f>
        <v>9538.44</v>
      </c>
      <c r="S6" s="13">
        <f>ROUND(IF($R$6&lt;=0,0,$R$6*UsedAutoLoanAPR/12),2)</f>
        <v>49.6</v>
      </c>
      <c r="T6" s="13">
        <f>ROUND(IF($R$6&lt;=0,0,MIN(UsedAutoLoanMinPayment,$R$6+$S$6)),2)</f>
        <v>212.0</v>
      </c>
      <c r="U6" s="13">
        <f>ROUND(IF($R$6&lt;=0,0,MIN(MAX(0,$R$6+$S$6-$T$6),MAX(0,$AD$6-$F$6-$K$6-$P$6))),2)</f>
        <v>0.0</v>
      </c>
      <c r="V6" s="13">
        <f>ROUND(MAX(0,$R$6+$S$6-$T$6-$U$6),2)</f>
        <v>9376.04</v>
      </c>
      <c r="W6" s="13">
        <f>$AA$5</f>
        <v>1055.0</v>
      </c>
      <c r="X6" s="13">
        <f>ROUND(IF($W$6&lt;=0,0,$W$6*MedicalPlanAPR/12),2)</f>
        <v>0.0</v>
      </c>
      <c r="Y6" s="13">
        <f>ROUND(IF($W$6&lt;=0,0,MIN(MedicalPlanMinPayment,$W$6+$X$6)),2)</f>
        <v>45.0</v>
      </c>
      <c r="Z6" s="13">
        <f>ROUND(IF($W$6&lt;=0,0,MIN(MAX(0,$W$6+$X$6-$Y$6),MAX(0,$AD$6-$F$6-$K$6-$P$6-$U$6))),2)</f>
        <v>0.0</v>
      </c>
      <c r="AA6" s="13">
        <f>ROUND(MAX(0,$W$6+$X$6-$Y$6-$Z$6),2)</f>
        <v>1010.0</v>
      </c>
      <c r="AB6" s="13">
        <f>ROUND(LateWindfallBaseExtra+LateWindfallPermanentLift+IF(A6&lt;=LateWindfallTempMonths,LateWindfallTempBoost,0),2)</f>
        <v>190.0</v>
      </c>
      <c r="AC6" s="13">
        <f>IF(A6=LateWindfallWindfallMonth,LateWindfallWindfall,0)</f>
        <v>0.0</v>
      </c>
      <c r="AD6" s="13">
        <f>ROUND($AB$6+$AC$6+IF($G$5&lt;=0,StoreCardMinPayment,0)+IF($L$5&lt;=0,CreditUnionVisaMinPayment,0)+IF($Q$5&lt;=0,PersonalLoanMinPayment,0)+IF($V$5&lt;=0,UsedAutoLoanMinPayment,0)+IF($AA$5&lt;=0,MedicalPlanMinPayment,0),2)</f>
        <v>190.0</v>
      </c>
      <c r="AE6" s="18" t="str">
        <f>IF($F$6&gt;0,Inputs!A6,IF($K$6&gt;0,Inputs!A7,IF($P$6&gt;0,Inputs!A8,IF($U$6&gt;0,Inputs!A9,IF($Z$6&gt;0,Inputs!A5,"")))))</f>
        <v>Store Card</v>
      </c>
      <c r="AF6" s="13">
        <f>ROUND(SUM($D$6,$I$6,$N$6,$S$6,$X$6),2)</f>
        <v>305.91</v>
      </c>
      <c r="AG6" s="13">
        <f>ROUND(SUM($G$6,$L$6,$Q$6,$V$6,$AA$6),2)</f>
        <v>24720.06</v>
      </c>
    </row>
    <row r="7" spans="1:33">
      <c r="A7" s="17">
        <f>ROW()-3</f>
        <v>3</v>
      </c>
      <c r="B7" s="18" t="str">
        <f>TEXT(EDATE(StartDate,A7-1),"mmm yyyy")</f>
        <v>Jun 2026</v>
      </c>
      <c r="C7" s="13">
        <f>$G$6</f>
        <v>2481.12</v>
      </c>
      <c r="D7" s="13">
        <f>ROUND(IF($C$7&lt;=0,0,$C$7*StoreCardAPR/12),2)</f>
        <v>59.94</v>
      </c>
      <c r="E7" s="13">
        <f>ROUND(IF($C$7&lt;=0,0,MIN(StoreCardMinPayment,$C$7+$D$7)),2)</f>
        <v>87.0</v>
      </c>
      <c r="F7" s="13">
        <f>ROUND(IF($C$7&lt;=0,0,MIN(MAX(0,$C$7+$D$7-$E$7),MAX(0,$AD$7))),2)</f>
        <v>190.0</v>
      </c>
      <c r="G7" s="13">
        <f>ROUND(MAX(0,$C$7+$D$7-$E$7-$F$7),2)</f>
        <v>2264.06</v>
      </c>
      <c r="H7" s="13">
        <f>$L$6</f>
        <v>6281.34</v>
      </c>
      <c r="I7" s="13">
        <f>ROUND(IF($H$7&lt;=0,0,$H$7*CreditUnionVisaAPR/12),2)</f>
        <v>130.81</v>
      </c>
      <c r="J7" s="13">
        <f>ROUND(IF($H$7&lt;=0,0,MIN(CreditUnionVisaMinPayment,$H$7+$I$7)),2)</f>
        <v>192.0</v>
      </c>
      <c r="K7" s="13">
        <f>ROUND(IF($H$7&lt;=0,0,MIN(MAX(0,$H$7+$I$7-$J$7),MAX(0,$AD$7-$F$7))),2)</f>
        <v>0.0</v>
      </c>
      <c r="L7" s="13">
        <f>ROUND(MAX(0,$H$7+$I$7-$J$7-$K$7),2)</f>
        <v>6220.15</v>
      </c>
      <c r="M7" s="13">
        <f>$Q$6</f>
        <v>5571.56</v>
      </c>
      <c r="N7" s="13">
        <f>ROUND(IF($M$7&lt;=0,0,$M$7*PersonalLoanAPR/12),2)</f>
        <v>57.99</v>
      </c>
      <c r="O7" s="13">
        <f>ROUND(IF($M$7&lt;=0,0,MIN(PersonalLoanMinPayment,$M$7+$N$7)),2)</f>
        <v>174.0</v>
      </c>
      <c r="P7" s="13">
        <f>ROUND(IF($M$7&lt;=0,0,MIN(MAX(0,$M$7+$N$7-$O$7),MAX(0,$AD$7-$F$7-$K$7))),2)</f>
        <v>0.0</v>
      </c>
      <c r="Q7" s="13">
        <f>ROUND(MAX(0,$M$7+$N$7-$O$7-$P$7),2)</f>
        <v>5455.55</v>
      </c>
      <c r="R7" s="13">
        <f>$V$6</f>
        <v>9376.04</v>
      </c>
      <c r="S7" s="13">
        <f>ROUND(IF($R$7&lt;=0,0,$R$7*UsedAutoLoanAPR/12),2)</f>
        <v>48.76</v>
      </c>
      <c r="T7" s="13">
        <f>ROUND(IF($R$7&lt;=0,0,MIN(UsedAutoLoanMinPayment,$R$7+$S$7)),2)</f>
        <v>212.0</v>
      </c>
      <c r="U7" s="13">
        <f>ROUND(IF($R$7&lt;=0,0,MIN(MAX(0,$R$7+$S$7-$T$7),MAX(0,$AD$7-$F$7-$K$7-$P$7))),2)</f>
        <v>0.0</v>
      </c>
      <c r="V7" s="13">
        <f>ROUND(MAX(0,$R$7+$S$7-$T$7-$U$7),2)</f>
        <v>9212.8</v>
      </c>
      <c r="W7" s="13">
        <f>$AA$6</f>
        <v>1010.0</v>
      </c>
      <c r="X7" s="13">
        <f>ROUND(IF($W$7&lt;=0,0,$W$7*MedicalPlanAPR/12),2)</f>
        <v>0.0</v>
      </c>
      <c r="Y7" s="13">
        <f>ROUND(IF($W$7&lt;=0,0,MIN(MedicalPlanMinPayment,$W$7+$X$7)),2)</f>
        <v>45.0</v>
      </c>
      <c r="Z7" s="13">
        <f>ROUND(IF($W$7&lt;=0,0,MIN(MAX(0,$W$7+$X$7-$Y$7),MAX(0,$AD$7-$F$7-$K$7-$P$7-$U$7))),2)</f>
        <v>0.0</v>
      </c>
      <c r="AA7" s="13">
        <f>ROUND(MAX(0,$W$7+$X$7-$Y$7-$Z$7),2)</f>
        <v>965.0</v>
      </c>
      <c r="AB7" s="13">
        <f>ROUND(LateWindfallBaseExtra+LateWindfallPermanentLift+IF(A7&lt;=LateWindfallTempMonths,LateWindfallTempBoost,0),2)</f>
        <v>190.0</v>
      </c>
      <c r="AC7" s="13">
        <f>IF(A7=LateWindfallWindfallMonth,LateWindfallWindfall,0)</f>
        <v>0.0</v>
      </c>
      <c r="AD7" s="13">
        <f>ROUND($AB$7+$AC$7+IF($G$6&lt;=0,StoreCardMinPayment,0)+IF($L$6&lt;=0,CreditUnionVisaMinPayment,0)+IF($Q$6&lt;=0,PersonalLoanMinPayment,0)+IF($V$6&lt;=0,UsedAutoLoanMinPayment,0)+IF($AA$6&lt;=0,MedicalPlanMinPayment,0),2)</f>
        <v>190.0</v>
      </c>
      <c r="AE7" s="18" t="str">
        <f>IF($F$7&gt;0,Inputs!A6,IF($K$7&gt;0,Inputs!A7,IF($P$7&gt;0,Inputs!A8,IF($U$7&gt;0,Inputs!A9,IF($Z$7&gt;0,Inputs!A5,"")))))</f>
        <v>Store Card</v>
      </c>
      <c r="AF7" s="13">
        <f>ROUND(SUM($D$7,$I$7,$N$7,$S$7,$X$7),2)</f>
        <v>297.5</v>
      </c>
      <c r="AG7" s="13">
        <f>ROUND(SUM($G$7,$L$7,$Q$7,$V$7,$AA$7),2)</f>
        <v>24117.56</v>
      </c>
    </row>
    <row r="8" spans="1:33">
      <c r="A8" s="17">
        <f>ROW()-3</f>
        <v>4</v>
      </c>
      <c r="B8" s="18" t="str">
        <f>TEXT(EDATE(StartDate,A8-1),"mmm yyyy")</f>
        <v>Jul 2026</v>
      </c>
      <c r="C8" s="13">
        <f>$G$7</f>
        <v>2264.06</v>
      </c>
      <c r="D8" s="13">
        <f>ROUND(IF($C$8&lt;=0,0,$C$8*StoreCardAPR/12),2)</f>
        <v>54.7</v>
      </c>
      <c r="E8" s="13">
        <f>ROUND(IF($C$8&lt;=0,0,MIN(StoreCardMinPayment,$C$8+$D$8)),2)</f>
        <v>87.0</v>
      </c>
      <c r="F8" s="13">
        <f>ROUND(IF($C$8&lt;=0,0,MIN(MAX(0,$C$8+$D$8-$E$8),MAX(0,$AD$8))),2)</f>
        <v>190.0</v>
      </c>
      <c r="G8" s="13">
        <f>ROUND(MAX(0,$C$8+$D$8-$E$8-$F$8),2)</f>
        <v>2041.76</v>
      </c>
      <c r="H8" s="13">
        <f>$L$7</f>
        <v>6220.15</v>
      </c>
      <c r="I8" s="13">
        <f>ROUND(IF($H$8&lt;=0,0,$H$8*CreditUnionVisaAPR/12),2)</f>
        <v>129.53</v>
      </c>
      <c r="J8" s="13">
        <f>ROUND(IF($H$8&lt;=0,0,MIN(CreditUnionVisaMinPayment,$H$8+$I$8)),2)</f>
        <v>192.0</v>
      </c>
      <c r="K8" s="13">
        <f>ROUND(IF($H$8&lt;=0,0,MIN(MAX(0,$H$8+$I$8-$J$8),MAX(0,$AD$8-$F$8))),2)</f>
        <v>0.0</v>
      </c>
      <c r="L8" s="13">
        <f>ROUND(MAX(0,$H$8+$I$8-$J$8-$K$8),2)</f>
        <v>6157.68</v>
      </c>
      <c r="M8" s="13">
        <f>$Q$7</f>
        <v>5455.55</v>
      </c>
      <c r="N8" s="13">
        <f>ROUND(IF($M$8&lt;=0,0,$M$8*PersonalLoanAPR/12),2)</f>
        <v>56.78</v>
      </c>
      <c r="O8" s="13">
        <f>ROUND(IF($M$8&lt;=0,0,MIN(PersonalLoanMinPayment,$M$8+$N$8)),2)</f>
        <v>174.0</v>
      </c>
      <c r="P8" s="13">
        <f>ROUND(IF($M$8&lt;=0,0,MIN(MAX(0,$M$8+$N$8-$O$8),MAX(0,$AD$8-$F$8-$K$8))),2)</f>
        <v>0.0</v>
      </c>
      <c r="Q8" s="13">
        <f>ROUND(MAX(0,$M$8+$N$8-$O$8-$P$8),2)</f>
        <v>5338.33</v>
      </c>
      <c r="R8" s="13">
        <f>$V$7</f>
        <v>9212.8</v>
      </c>
      <c r="S8" s="13">
        <f>ROUND(IF($R$8&lt;=0,0,$R$8*UsedAutoLoanAPR/12),2)</f>
        <v>47.91</v>
      </c>
      <c r="T8" s="13">
        <f>ROUND(IF($R$8&lt;=0,0,MIN(UsedAutoLoanMinPayment,$R$8+$S$8)),2)</f>
        <v>212.0</v>
      </c>
      <c r="U8" s="13">
        <f>ROUND(IF($R$8&lt;=0,0,MIN(MAX(0,$R$8+$S$8-$T$8),MAX(0,$AD$8-$F$8-$K$8-$P$8))),2)</f>
        <v>0.0</v>
      </c>
      <c r="V8" s="13">
        <f>ROUND(MAX(0,$R$8+$S$8-$T$8-$U$8),2)</f>
        <v>9048.71</v>
      </c>
      <c r="W8" s="13">
        <f>$AA$7</f>
        <v>965.0</v>
      </c>
      <c r="X8" s="13">
        <f>ROUND(IF($W$8&lt;=0,0,$W$8*MedicalPlanAPR/12),2)</f>
        <v>0.0</v>
      </c>
      <c r="Y8" s="13">
        <f>ROUND(IF($W$8&lt;=0,0,MIN(MedicalPlanMinPayment,$W$8+$X$8)),2)</f>
        <v>45.0</v>
      </c>
      <c r="Z8" s="13">
        <f>ROUND(IF($W$8&lt;=0,0,MIN(MAX(0,$W$8+$X$8-$Y$8),MAX(0,$AD$8-$F$8-$K$8-$P$8-$U$8))),2)</f>
        <v>0.0</v>
      </c>
      <c r="AA8" s="13">
        <f>ROUND(MAX(0,$W$8+$X$8-$Y$8-$Z$8),2)</f>
        <v>920.0</v>
      </c>
      <c r="AB8" s="13">
        <f>ROUND(LateWindfallBaseExtra+LateWindfallPermanentLift+IF(A8&lt;=LateWindfallTempMonths,LateWindfallTempBoost,0),2)</f>
        <v>190.0</v>
      </c>
      <c r="AC8" s="13">
        <f>IF(A8=LateWindfallWindfallMonth,LateWindfallWindfall,0)</f>
        <v>0.0</v>
      </c>
      <c r="AD8" s="13">
        <f>ROUND($AB$8+$AC$8+IF($G$7&lt;=0,StoreCardMinPayment,0)+IF($L$7&lt;=0,CreditUnionVisaMinPayment,0)+IF($Q$7&lt;=0,PersonalLoanMinPayment,0)+IF($V$7&lt;=0,UsedAutoLoanMinPayment,0)+IF($AA$7&lt;=0,MedicalPlanMinPayment,0),2)</f>
        <v>190.0</v>
      </c>
      <c r="AE8" s="18" t="str">
        <f>IF($F$8&gt;0,Inputs!A6,IF($K$8&gt;0,Inputs!A7,IF($P$8&gt;0,Inputs!A8,IF($U$8&gt;0,Inputs!A9,IF($Z$8&gt;0,Inputs!A5,"")))))</f>
        <v>Store Card</v>
      </c>
      <c r="AF8" s="13">
        <f>ROUND(SUM($D$8,$I$8,$N$8,$S$8,$X$8),2)</f>
        <v>288.92</v>
      </c>
      <c r="AG8" s="13">
        <f>ROUND(SUM($G$8,$L$8,$Q$8,$V$8,$AA$8),2)</f>
        <v>23506.48</v>
      </c>
    </row>
    <row r="9" spans="1:33">
      <c r="A9" s="17">
        <f>ROW()-3</f>
        <v>5</v>
      </c>
      <c r="B9" s="18" t="str">
        <f>TEXT(EDATE(StartDate,A9-1),"mmm yyyy")</f>
        <v>Aug 2026</v>
      </c>
      <c r="C9" s="13">
        <f>$G$8</f>
        <v>2041.76</v>
      </c>
      <c r="D9" s="13">
        <f>ROUND(IF($C$9&lt;=0,0,$C$9*StoreCardAPR/12),2)</f>
        <v>49.33</v>
      </c>
      <c r="E9" s="13">
        <f>ROUND(IF($C$9&lt;=0,0,MIN(StoreCardMinPayment,$C$9+$D$9)),2)</f>
        <v>87.0</v>
      </c>
      <c r="F9" s="13">
        <f>ROUND(IF($C$9&lt;=0,0,MIN(MAX(0,$C$9+$D$9-$E$9),MAX(0,$AD$9))),2)</f>
        <v>190.0</v>
      </c>
      <c r="G9" s="13">
        <f>ROUND(MAX(0,$C$9+$D$9-$E$9-$F$9),2)</f>
        <v>1814.09</v>
      </c>
      <c r="H9" s="13">
        <f>$L$8</f>
        <v>6157.68</v>
      </c>
      <c r="I9" s="13">
        <f>ROUND(IF($H$9&lt;=0,0,$H$9*CreditUnionVisaAPR/12),2)</f>
        <v>128.23</v>
      </c>
      <c r="J9" s="13">
        <f>ROUND(IF($H$9&lt;=0,0,MIN(CreditUnionVisaMinPayment,$H$9+$I$9)),2)</f>
        <v>192.0</v>
      </c>
      <c r="K9" s="13">
        <f>ROUND(IF($H$9&lt;=0,0,MIN(MAX(0,$H$9+$I$9-$J$9),MAX(0,$AD$9-$F$9))),2)</f>
        <v>0.0</v>
      </c>
      <c r="L9" s="13">
        <f>ROUND(MAX(0,$H$9+$I$9-$J$9-$K$9),2)</f>
        <v>6093.91</v>
      </c>
      <c r="M9" s="13">
        <f>$Q$8</f>
        <v>5338.33</v>
      </c>
      <c r="N9" s="13">
        <f>ROUND(IF($M$9&lt;=0,0,$M$9*PersonalLoanAPR/12),2)</f>
        <v>55.56</v>
      </c>
      <c r="O9" s="13">
        <f>ROUND(IF($M$9&lt;=0,0,MIN(PersonalLoanMinPayment,$M$9+$N$9)),2)</f>
        <v>174.0</v>
      </c>
      <c r="P9" s="13">
        <f>ROUND(IF($M$9&lt;=0,0,MIN(MAX(0,$M$9+$N$9-$O$9),MAX(0,$AD$9-$F$9-$K$9))),2)</f>
        <v>0.0</v>
      </c>
      <c r="Q9" s="13">
        <f>ROUND(MAX(0,$M$9+$N$9-$O$9-$P$9),2)</f>
        <v>5219.89</v>
      </c>
      <c r="R9" s="13">
        <f>$V$8</f>
        <v>9048.71</v>
      </c>
      <c r="S9" s="13">
        <f>ROUND(IF($R$9&lt;=0,0,$R$9*UsedAutoLoanAPR/12),2)</f>
        <v>47.05</v>
      </c>
      <c r="T9" s="13">
        <f>ROUND(IF($R$9&lt;=0,0,MIN(UsedAutoLoanMinPayment,$R$9+$S$9)),2)</f>
        <v>212.0</v>
      </c>
      <c r="U9" s="13">
        <f>ROUND(IF($R$9&lt;=0,0,MIN(MAX(0,$R$9+$S$9-$T$9),MAX(0,$AD$9-$F$9-$K$9-$P$9))),2)</f>
        <v>0.0</v>
      </c>
      <c r="V9" s="13">
        <f>ROUND(MAX(0,$R$9+$S$9-$T$9-$U$9),2)</f>
        <v>8883.76</v>
      </c>
      <c r="W9" s="13">
        <f>$AA$8</f>
        <v>920.0</v>
      </c>
      <c r="X9" s="13">
        <f>ROUND(IF($W$9&lt;=0,0,$W$9*MedicalPlanAPR/12),2)</f>
        <v>0.0</v>
      </c>
      <c r="Y9" s="13">
        <f>ROUND(IF($W$9&lt;=0,0,MIN(MedicalPlanMinPayment,$W$9+$X$9)),2)</f>
        <v>45.0</v>
      </c>
      <c r="Z9" s="13">
        <f>ROUND(IF($W$9&lt;=0,0,MIN(MAX(0,$W$9+$X$9-$Y$9),MAX(0,$AD$9-$F$9-$K$9-$P$9-$U$9))),2)</f>
        <v>0.0</v>
      </c>
      <c r="AA9" s="13">
        <f>ROUND(MAX(0,$W$9+$X$9-$Y$9-$Z$9),2)</f>
        <v>875.0</v>
      </c>
      <c r="AB9" s="13">
        <f>ROUND(LateWindfallBaseExtra+LateWindfallPermanentLift+IF(A9&lt;=LateWindfallTempMonths,LateWindfallTempBoost,0),2)</f>
        <v>190.0</v>
      </c>
      <c r="AC9" s="13">
        <f>IF(A9=LateWindfallWindfallMonth,LateWindfallWindfall,0)</f>
        <v>0.0</v>
      </c>
      <c r="AD9" s="13">
        <f>ROUND($AB$9+$AC$9+IF($G$8&lt;=0,StoreCardMinPayment,0)+IF($L$8&lt;=0,CreditUnionVisaMinPayment,0)+IF($Q$8&lt;=0,PersonalLoanMinPayment,0)+IF($V$8&lt;=0,UsedAutoLoanMinPayment,0)+IF($AA$8&lt;=0,MedicalPlanMinPayment,0),2)</f>
        <v>190.0</v>
      </c>
      <c r="AE9" s="18" t="str">
        <f>IF($F$9&gt;0,Inputs!A6,IF($K$9&gt;0,Inputs!A7,IF($P$9&gt;0,Inputs!A8,IF($U$9&gt;0,Inputs!A9,IF($Z$9&gt;0,Inputs!A5,"")))))</f>
        <v>Store Card</v>
      </c>
      <c r="AF9" s="13">
        <f>ROUND(SUM($D$9,$I$9,$N$9,$S$9,$X$9),2)</f>
        <v>280.17</v>
      </c>
      <c r="AG9" s="13">
        <f>ROUND(SUM($G$9,$L$9,$Q$9,$V$9,$AA$9),2)</f>
        <v>22886.65</v>
      </c>
    </row>
    <row r="10" spans="1:33">
      <c r="A10" s="17">
        <f>ROW()-3</f>
        <v>6</v>
      </c>
      <c r="B10" s="18" t="str">
        <f>TEXT(EDATE(StartDate,A10-1),"mmm yyyy")</f>
        <v>Sep 2026</v>
      </c>
      <c r="C10" s="13">
        <f>$G$9</f>
        <v>1814.09</v>
      </c>
      <c r="D10" s="13">
        <f>ROUND(IF($C$10&lt;=0,0,$C$10*StoreCardAPR/12),2)</f>
        <v>43.83</v>
      </c>
      <c r="E10" s="13">
        <f>ROUND(IF($C$10&lt;=0,0,MIN(StoreCardMinPayment,$C$10+$D$10)),2)</f>
        <v>87.0</v>
      </c>
      <c r="F10" s="13">
        <f>ROUND(IF($C$10&lt;=0,0,MIN(MAX(0,$C$10+$D$10-$E$10),MAX(0,$AD$10))),2)</f>
        <v>190.0</v>
      </c>
      <c r="G10" s="13">
        <f>ROUND(MAX(0,$C$10+$D$10-$E$10-$F$10),2)</f>
        <v>1580.92</v>
      </c>
      <c r="H10" s="13">
        <f>$L$9</f>
        <v>6093.91</v>
      </c>
      <c r="I10" s="13">
        <f>ROUND(IF($H$10&lt;=0,0,$H$10*CreditUnionVisaAPR/12),2)</f>
        <v>126.91</v>
      </c>
      <c r="J10" s="13">
        <f>ROUND(IF($H$10&lt;=0,0,MIN(CreditUnionVisaMinPayment,$H$10+$I$10)),2)</f>
        <v>192.0</v>
      </c>
      <c r="K10" s="13">
        <f>ROUND(IF($H$10&lt;=0,0,MIN(MAX(0,$H$10+$I$10-$J$10),MAX(0,$AD$10-$F$10))),2)</f>
        <v>0.0</v>
      </c>
      <c r="L10" s="13">
        <f>ROUND(MAX(0,$H$10+$I$10-$J$10-$K$10),2)</f>
        <v>6028.82</v>
      </c>
      <c r="M10" s="13">
        <f>$Q$9</f>
        <v>5219.89</v>
      </c>
      <c r="N10" s="13">
        <f>ROUND(IF($M$10&lt;=0,0,$M$10*PersonalLoanAPR/12),2)</f>
        <v>54.33</v>
      </c>
      <c r="O10" s="13">
        <f>ROUND(IF($M$10&lt;=0,0,MIN(PersonalLoanMinPayment,$M$10+$N$10)),2)</f>
        <v>174.0</v>
      </c>
      <c r="P10" s="13">
        <f>ROUND(IF($M$10&lt;=0,0,MIN(MAX(0,$M$10+$N$10-$O$10),MAX(0,$AD$10-$F$10-$K$10))),2)</f>
        <v>0.0</v>
      </c>
      <c r="Q10" s="13">
        <f>ROUND(MAX(0,$M$10+$N$10-$O$10-$P$10),2)</f>
        <v>5100.22</v>
      </c>
      <c r="R10" s="13">
        <f>$V$9</f>
        <v>8883.76</v>
      </c>
      <c r="S10" s="13">
        <f>ROUND(IF($R$10&lt;=0,0,$R$10*UsedAutoLoanAPR/12),2)</f>
        <v>46.2</v>
      </c>
      <c r="T10" s="13">
        <f>ROUND(IF($R$10&lt;=0,0,MIN(UsedAutoLoanMinPayment,$R$10+$S$10)),2)</f>
        <v>212.0</v>
      </c>
      <c r="U10" s="13">
        <f>ROUND(IF($R$10&lt;=0,0,MIN(MAX(0,$R$10+$S$10-$T$10),MAX(0,$AD$10-$F$10-$K$10-$P$10))),2)</f>
        <v>0.0</v>
      </c>
      <c r="V10" s="13">
        <f>ROUND(MAX(0,$R$10+$S$10-$T$10-$U$10),2)</f>
        <v>8717.96</v>
      </c>
      <c r="W10" s="13">
        <f>$AA$9</f>
        <v>875.0</v>
      </c>
      <c r="X10" s="13">
        <f>ROUND(IF($W$10&lt;=0,0,$W$10*MedicalPlanAPR/12),2)</f>
        <v>0.0</v>
      </c>
      <c r="Y10" s="13">
        <f>ROUND(IF($W$10&lt;=0,0,MIN(MedicalPlanMinPayment,$W$10+$X$10)),2)</f>
        <v>45.0</v>
      </c>
      <c r="Z10" s="13">
        <f>ROUND(IF($W$10&lt;=0,0,MIN(MAX(0,$W$10+$X$10-$Y$10),MAX(0,$AD$10-$F$10-$K$10-$P$10-$U$10))),2)</f>
        <v>0.0</v>
      </c>
      <c r="AA10" s="13">
        <f>ROUND(MAX(0,$W$10+$X$10-$Y$10-$Z$10),2)</f>
        <v>830.0</v>
      </c>
      <c r="AB10" s="13">
        <f>ROUND(LateWindfallBaseExtra+LateWindfallPermanentLift+IF(A10&lt;=LateWindfallTempMonths,LateWindfallTempBoost,0),2)</f>
        <v>190.0</v>
      </c>
      <c r="AC10" s="13">
        <f>IF(A10=LateWindfallWindfallMonth,LateWindfallWindfall,0)</f>
        <v>0.0</v>
      </c>
      <c r="AD10" s="13">
        <f>ROUND($AB$10+$AC$10+IF($G$9&lt;=0,StoreCardMinPayment,0)+IF($L$9&lt;=0,CreditUnionVisaMinPayment,0)+IF($Q$9&lt;=0,PersonalLoanMinPayment,0)+IF($V$9&lt;=0,UsedAutoLoanMinPayment,0)+IF($AA$9&lt;=0,MedicalPlanMinPayment,0),2)</f>
        <v>190.0</v>
      </c>
      <c r="AE10" s="18" t="str">
        <f>IF($F$10&gt;0,Inputs!A6,IF($K$10&gt;0,Inputs!A7,IF($P$10&gt;0,Inputs!A8,IF($U$10&gt;0,Inputs!A9,IF($Z$10&gt;0,Inputs!A5,"")))))</f>
        <v>Store Card</v>
      </c>
      <c r="AF10" s="13">
        <f>ROUND(SUM($D$10,$I$10,$N$10,$S$10,$X$10),2)</f>
        <v>271.27</v>
      </c>
      <c r="AG10" s="13">
        <f>ROUND(SUM($G$10,$L$10,$Q$10,$V$10,$AA$10),2)</f>
        <v>22257.92</v>
      </c>
    </row>
    <row r="11" spans="1:33">
      <c r="A11" s="17">
        <f>ROW()-3</f>
        <v>7</v>
      </c>
      <c r="B11" s="18" t="str">
        <f>TEXT(EDATE(StartDate,A11-1),"mmm yyyy")</f>
        <v>Oct 2026</v>
      </c>
      <c r="C11" s="13">
        <f>$G$10</f>
        <v>1580.92</v>
      </c>
      <c r="D11" s="13">
        <f>ROUND(IF($C$11&lt;=0,0,$C$11*StoreCardAPR/12),2)</f>
        <v>38.19</v>
      </c>
      <c r="E11" s="13">
        <f>ROUND(IF($C$11&lt;=0,0,MIN(StoreCardMinPayment,$C$11+$D$11)),2)</f>
        <v>87.0</v>
      </c>
      <c r="F11" s="13">
        <f>ROUND(IF($C$11&lt;=0,0,MIN(MAX(0,$C$11+$D$11-$E$11),MAX(0,$AD$11))),2)</f>
        <v>190.0</v>
      </c>
      <c r="G11" s="13">
        <f>ROUND(MAX(0,$C$11+$D$11-$E$11-$F$11),2)</f>
        <v>1342.11</v>
      </c>
      <c r="H11" s="13">
        <f>$L$10</f>
        <v>6028.82</v>
      </c>
      <c r="I11" s="13">
        <f>ROUND(IF($H$11&lt;=0,0,$H$11*CreditUnionVisaAPR/12),2)</f>
        <v>125.55</v>
      </c>
      <c r="J11" s="13">
        <f>ROUND(IF($H$11&lt;=0,0,MIN(CreditUnionVisaMinPayment,$H$11+$I$11)),2)</f>
        <v>192.0</v>
      </c>
      <c r="K11" s="13">
        <f>ROUND(IF($H$11&lt;=0,0,MIN(MAX(0,$H$11+$I$11-$J$11),MAX(0,$AD$11-$F$11))),2)</f>
        <v>0.0</v>
      </c>
      <c r="L11" s="13">
        <f>ROUND(MAX(0,$H$11+$I$11-$J$11-$K$11),2)</f>
        <v>5962.37</v>
      </c>
      <c r="M11" s="13">
        <f>$Q$10</f>
        <v>5100.22</v>
      </c>
      <c r="N11" s="13">
        <f>ROUND(IF($M$11&lt;=0,0,$M$11*PersonalLoanAPR/12),2)</f>
        <v>53.08</v>
      </c>
      <c r="O11" s="13">
        <f>ROUND(IF($M$11&lt;=0,0,MIN(PersonalLoanMinPayment,$M$11+$N$11)),2)</f>
        <v>174.0</v>
      </c>
      <c r="P11" s="13">
        <f>ROUND(IF($M$11&lt;=0,0,MIN(MAX(0,$M$11+$N$11-$O$11),MAX(0,$AD$11-$F$11-$K$11))),2)</f>
        <v>0.0</v>
      </c>
      <c r="Q11" s="13">
        <f>ROUND(MAX(0,$M$11+$N$11-$O$11-$P$11),2)</f>
        <v>4979.3</v>
      </c>
      <c r="R11" s="13">
        <f>$V$10</f>
        <v>8717.96</v>
      </c>
      <c r="S11" s="13">
        <f>ROUND(IF($R$11&lt;=0,0,$R$11*UsedAutoLoanAPR/12),2)</f>
        <v>45.33</v>
      </c>
      <c r="T11" s="13">
        <f>ROUND(IF($R$11&lt;=0,0,MIN(UsedAutoLoanMinPayment,$R$11+$S$11)),2)</f>
        <v>212.0</v>
      </c>
      <c r="U11" s="13">
        <f>ROUND(IF($R$11&lt;=0,0,MIN(MAX(0,$R$11+$S$11-$T$11),MAX(0,$AD$11-$F$11-$K$11-$P$11))),2)</f>
        <v>0.0</v>
      </c>
      <c r="V11" s="13">
        <f>ROUND(MAX(0,$R$11+$S$11-$T$11-$U$11),2)</f>
        <v>8551.29</v>
      </c>
      <c r="W11" s="13">
        <f>$AA$10</f>
        <v>830.0</v>
      </c>
      <c r="X11" s="13">
        <f>ROUND(IF($W$11&lt;=0,0,$W$11*MedicalPlanAPR/12),2)</f>
        <v>0.0</v>
      </c>
      <c r="Y11" s="13">
        <f>ROUND(IF($W$11&lt;=0,0,MIN(MedicalPlanMinPayment,$W$11+$X$11)),2)</f>
        <v>45.0</v>
      </c>
      <c r="Z11" s="13">
        <f>ROUND(IF($W$11&lt;=0,0,MIN(MAX(0,$W$11+$X$11-$Y$11),MAX(0,$AD$11-$F$11-$K$11-$P$11-$U$11))),2)</f>
        <v>0.0</v>
      </c>
      <c r="AA11" s="13">
        <f>ROUND(MAX(0,$W$11+$X$11-$Y$11-$Z$11),2)</f>
        <v>785.0</v>
      </c>
      <c r="AB11" s="13">
        <f>ROUND(LateWindfallBaseExtra+LateWindfallPermanentLift+IF(A11&lt;=LateWindfallTempMonths,LateWindfallTempBoost,0),2)</f>
        <v>190.0</v>
      </c>
      <c r="AC11" s="13">
        <f>IF(A11=LateWindfallWindfallMonth,LateWindfallWindfall,0)</f>
        <v>0.0</v>
      </c>
      <c r="AD11" s="13">
        <f>ROUND($AB$11+$AC$11+IF($G$10&lt;=0,StoreCardMinPayment,0)+IF($L$10&lt;=0,CreditUnionVisaMinPayment,0)+IF($Q$10&lt;=0,PersonalLoanMinPayment,0)+IF($V$10&lt;=0,UsedAutoLoanMinPayment,0)+IF($AA$10&lt;=0,MedicalPlanMinPayment,0),2)</f>
        <v>190.0</v>
      </c>
      <c r="AE11" s="18" t="str">
        <f>IF($F$11&gt;0,Inputs!A6,IF($K$11&gt;0,Inputs!A7,IF($P$11&gt;0,Inputs!A8,IF($U$11&gt;0,Inputs!A9,IF($Z$11&gt;0,Inputs!A5,"")))))</f>
        <v>Store Card</v>
      </c>
      <c r="AF11" s="13">
        <f>ROUND(SUM($D$11,$I$11,$N$11,$S$11,$X$11),2)</f>
        <v>262.15</v>
      </c>
      <c r="AG11" s="13">
        <f>ROUND(SUM($G$11,$L$11,$Q$11,$V$11,$AA$11),2)</f>
        <v>21620.07</v>
      </c>
    </row>
    <row r="12" spans="1:33">
      <c r="A12" s="17">
        <f>ROW()-3</f>
        <v>8</v>
      </c>
      <c r="B12" s="18" t="str">
        <f>TEXT(EDATE(StartDate,A12-1),"mmm yyyy")</f>
        <v>Nov 2026</v>
      </c>
      <c r="C12" s="13">
        <f>$G$11</f>
        <v>1342.11</v>
      </c>
      <c r="D12" s="13">
        <f>ROUND(IF($C$12&lt;=0,0,$C$12*StoreCardAPR/12),2)</f>
        <v>32.42</v>
      </c>
      <c r="E12" s="13">
        <f>ROUND(IF($C$12&lt;=0,0,MIN(StoreCardMinPayment,$C$12+$D$12)),2)</f>
        <v>87.0</v>
      </c>
      <c r="F12" s="13">
        <f>ROUND(IF($C$12&lt;=0,0,MIN(MAX(0,$C$12+$D$12-$E$12),MAX(0,$AD$12))),2)</f>
        <v>190.0</v>
      </c>
      <c r="G12" s="13">
        <f>ROUND(MAX(0,$C$12+$D$12-$E$12-$F$12),2)</f>
        <v>1097.53</v>
      </c>
      <c r="H12" s="13">
        <f>$L$11</f>
        <v>5962.37</v>
      </c>
      <c r="I12" s="13">
        <f>ROUND(IF($H$12&lt;=0,0,$H$12*CreditUnionVisaAPR/12),2)</f>
        <v>124.17</v>
      </c>
      <c r="J12" s="13">
        <f>ROUND(IF($H$12&lt;=0,0,MIN(CreditUnionVisaMinPayment,$H$12+$I$12)),2)</f>
        <v>192.0</v>
      </c>
      <c r="K12" s="13">
        <f>ROUND(IF($H$12&lt;=0,0,MIN(MAX(0,$H$12+$I$12-$J$12),MAX(0,$AD$12-$F$12))),2)</f>
        <v>0.0</v>
      </c>
      <c r="L12" s="13">
        <f>ROUND(MAX(0,$H$12+$I$12-$J$12-$K$12),2)</f>
        <v>5894.54</v>
      </c>
      <c r="M12" s="13">
        <f>$Q$11</f>
        <v>4979.3</v>
      </c>
      <c r="N12" s="13">
        <f>ROUND(IF($M$12&lt;=0,0,$M$12*PersonalLoanAPR/12),2)</f>
        <v>51.83</v>
      </c>
      <c r="O12" s="13">
        <f>ROUND(IF($M$12&lt;=0,0,MIN(PersonalLoanMinPayment,$M$12+$N$12)),2)</f>
        <v>174.0</v>
      </c>
      <c r="P12" s="13">
        <f>ROUND(IF($M$12&lt;=0,0,MIN(MAX(0,$M$12+$N$12-$O$12),MAX(0,$AD$12-$F$12-$K$12))),2)</f>
        <v>0.0</v>
      </c>
      <c r="Q12" s="13">
        <f>ROUND(MAX(0,$M$12+$N$12-$O$12-$P$12),2)</f>
        <v>4857.13</v>
      </c>
      <c r="R12" s="13">
        <f>$V$11</f>
        <v>8551.29</v>
      </c>
      <c r="S12" s="13">
        <f>ROUND(IF($R$12&lt;=0,0,$R$12*UsedAutoLoanAPR/12),2)</f>
        <v>44.47</v>
      </c>
      <c r="T12" s="13">
        <f>ROUND(IF($R$12&lt;=0,0,MIN(UsedAutoLoanMinPayment,$R$12+$S$12)),2)</f>
        <v>212.0</v>
      </c>
      <c r="U12" s="13">
        <f>ROUND(IF($R$12&lt;=0,0,MIN(MAX(0,$R$12+$S$12-$T$12),MAX(0,$AD$12-$F$12-$K$12-$P$12))),2)</f>
        <v>0.0</v>
      </c>
      <c r="V12" s="13">
        <f>ROUND(MAX(0,$R$12+$S$12-$T$12-$U$12),2)</f>
        <v>8383.76</v>
      </c>
      <c r="W12" s="13">
        <f>$AA$11</f>
        <v>785.0</v>
      </c>
      <c r="X12" s="13">
        <f>ROUND(IF($W$12&lt;=0,0,$W$12*MedicalPlanAPR/12),2)</f>
        <v>0.0</v>
      </c>
      <c r="Y12" s="13">
        <f>ROUND(IF($W$12&lt;=0,0,MIN(MedicalPlanMinPayment,$W$12+$X$12)),2)</f>
        <v>45.0</v>
      </c>
      <c r="Z12" s="13">
        <f>ROUND(IF($W$12&lt;=0,0,MIN(MAX(0,$W$12+$X$12-$Y$12),MAX(0,$AD$12-$F$12-$K$12-$P$12-$U$12))),2)</f>
        <v>0.0</v>
      </c>
      <c r="AA12" s="13">
        <f>ROUND(MAX(0,$W$12+$X$12-$Y$12-$Z$12),2)</f>
        <v>740.0</v>
      </c>
      <c r="AB12" s="13">
        <f>ROUND(LateWindfallBaseExtra+LateWindfallPermanentLift+IF(A12&lt;=LateWindfallTempMonths,LateWindfallTempBoost,0),2)</f>
        <v>190.0</v>
      </c>
      <c r="AC12" s="13">
        <f>IF(A12=LateWindfallWindfallMonth,LateWindfallWindfall,0)</f>
        <v>0.0</v>
      </c>
      <c r="AD12" s="13">
        <f>ROUND($AB$12+$AC$12+IF($G$11&lt;=0,StoreCardMinPayment,0)+IF($L$11&lt;=0,CreditUnionVisaMinPayment,0)+IF($Q$11&lt;=0,PersonalLoanMinPayment,0)+IF($V$11&lt;=0,UsedAutoLoanMinPayment,0)+IF($AA$11&lt;=0,MedicalPlanMinPayment,0),2)</f>
        <v>190.0</v>
      </c>
      <c r="AE12" s="18" t="str">
        <f>IF($F$12&gt;0,Inputs!A6,IF($K$12&gt;0,Inputs!A7,IF($P$12&gt;0,Inputs!A8,IF($U$12&gt;0,Inputs!A9,IF($Z$12&gt;0,Inputs!A5,"")))))</f>
        <v>Store Card</v>
      </c>
      <c r="AF12" s="13">
        <f>ROUND(SUM($D$12,$I$12,$N$12,$S$12,$X$12),2)</f>
        <v>252.89</v>
      </c>
      <c r="AG12" s="13">
        <f>ROUND(SUM($G$12,$L$12,$Q$12,$V$12,$AA$12),2)</f>
        <v>20972.96</v>
      </c>
    </row>
    <row r="13" spans="1:33">
      <c r="A13" s="17">
        <f>ROW()-3</f>
        <v>9</v>
      </c>
      <c r="B13" s="18" t="str">
        <f>TEXT(EDATE(StartDate,A13-1),"mmm yyyy")</f>
        <v>Dec 2026</v>
      </c>
      <c r="C13" s="13">
        <f>$G$12</f>
        <v>1097.53</v>
      </c>
      <c r="D13" s="13">
        <f>ROUND(IF($C$13&lt;=0,0,$C$13*StoreCardAPR/12),2)</f>
        <v>26.51</v>
      </c>
      <c r="E13" s="13">
        <f>ROUND(IF($C$13&lt;=0,0,MIN(StoreCardMinPayment,$C$13+$D$13)),2)</f>
        <v>87.0</v>
      </c>
      <c r="F13" s="13">
        <f>ROUND(IF($C$13&lt;=0,0,MIN(MAX(0,$C$13+$D$13-$E$13),MAX(0,$AD$13))),2)</f>
        <v>190.0</v>
      </c>
      <c r="G13" s="13">
        <f>ROUND(MAX(0,$C$13+$D$13-$E$13-$F$13),2)</f>
        <v>847.04</v>
      </c>
      <c r="H13" s="13">
        <f>$L$12</f>
        <v>5894.54</v>
      </c>
      <c r="I13" s="13">
        <f>ROUND(IF($H$13&lt;=0,0,$H$13*CreditUnionVisaAPR/12),2)</f>
        <v>122.75</v>
      </c>
      <c r="J13" s="13">
        <f>ROUND(IF($H$13&lt;=0,0,MIN(CreditUnionVisaMinPayment,$H$13+$I$13)),2)</f>
        <v>192.0</v>
      </c>
      <c r="K13" s="13">
        <f>ROUND(IF($H$13&lt;=0,0,MIN(MAX(0,$H$13+$I$13-$J$13),MAX(0,$AD$13-$F$13))),2)</f>
        <v>0.0</v>
      </c>
      <c r="L13" s="13">
        <f>ROUND(MAX(0,$H$13+$I$13-$J$13-$K$13),2)</f>
        <v>5825.29</v>
      </c>
      <c r="M13" s="13">
        <f>$Q$12</f>
        <v>4857.13</v>
      </c>
      <c r="N13" s="13">
        <f>ROUND(IF($M$13&lt;=0,0,$M$13*PersonalLoanAPR/12),2)</f>
        <v>50.55</v>
      </c>
      <c r="O13" s="13">
        <f>ROUND(IF($M$13&lt;=0,0,MIN(PersonalLoanMinPayment,$M$13+$N$13)),2)</f>
        <v>174.0</v>
      </c>
      <c r="P13" s="13">
        <f>ROUND(IF($M$13&lt;=0,0,MIN(MAX(0,$M$13+$N$13-$O$13),MAX(0,$AD$13-$F$13-$K$13))),2)</f>
        <v>0.0</v>
      </c>
      <c r="Q13" s="13">
        <f>ROUND(MAX(0,$M$13+$N$13-$O$13-$P$13),2)</f>
        <v>4733.68</v>
      </c>
      <c r="R13" s="13">
        <f>$V$12</f>
        <v>8383.76</v>
      </c>
      <c r="S13" s="13">
        <f>ROUND(IF($R$13&lt;=0,0,$R$13*UsedAutoLoanAPR/12),2)</f>
        <v>43.6</v>
      </c>
      <c r="T13" s="13">
        <f>ROUND(IF($R$13&lt;=0,0,MIN(UsedAutoLoanMinPayment,$R$13+$S$13)),2)</f>
        <v>212.0</v>
      </c>
      <c r="U13" s="13">
        <f>ROUND(IF($R$13&lt;=0,0,MIN(MAX(0,$R$13+$S$13-$T$13),MAX(0,$AD$13-$F$13-$K$13-$P$13))),2)</f>
        <v>0.0</v>
      </c>
      <c r="V13" s="13">
        <f>ROUND(MAX(0,$R$13+$S$13-$T$13-$U$13),2)</f>
        <v>8215.36</v>
      </c>
      <c r="W13" s="13">
        <f>$AA$12</f>
        <v>740.0</v>
      </c>
      <c r="X13" s="13">
        <f>ROUND(IF($W$13&lt;=0,0,$W$13*MedicalPlanAPR/12),2)</f>
        <v>0.0</v>
      </c>
      <c r="Y13" s="13">
        <f>ROUND(IF($W$13&lt;=0,0,MIN(MedicalPlanMinPayment,$W$13+$X$13)),2)</f>
        <v>45.0</v>
      </c>
      <c r="Z13" s="13">
        <f>ROUND(IF($W$13&lt;=0,0,MIN(MAX(0,$W$13+$X$13-$Y$13),MAX(0,$AD$13-$F$13-$K$13-$P$13-$U$13))),2)</f>
        <v>0.0</v>
      </c>
      <c r="AA13" s="13">
        <f>ROUND(MAX(0,$W$13+$X$13-$Y$13-$Z$13),2)</f>
        <v>695.0</v>
      </c>
      <c r="AB13" s="13">
        <f>ROUND(LateWindfallBaseExtra+LateWindfallPermanentLift+IF(A13&lt;=LateWindfallTempMonths,LateWindfallTempBoost,0),2)</f>
        <v>190.0</v>
      </c>
      <c r="AC13" s="13">
        <f>IF(A13=LateWindfallWindfallMonth,LateWindfallWindfall,0)</f>
        <v>0.0</v>
      </c>
      <c r="AD13" s="13">
        <f>ROUND($AB$13+$AC$13+IF($G$12&lt;=0,StoreCardMinPayment,0)+IF($L$12&lt;=0,CreditUnionVisaMinPayment,0)+IF($Q$12&lt;=0,PersonalLoanMinPayment,0)+IF($V$12&lt;=0,UsedAutoLoanMinPayment,0)+IF($AA$12&lt;=0,MedicalPlanMinPayment,0),2)</f>
        <v>190.0</v>
      </c>
      <c r="AE13" s="18" t="str">
        <f>IF($F$13&gt;0,Inputs!A6,IF($K$13&gt;0,Inputs!A7,IF($P$13&gt;0,Inputs!A8,IF($U$13&gt;0,Inputs!A9,IF($Z$13&gt;0,Inputs!A5,"")))))</f>
        <v>Store Card</v>
      </c>
      <c r="AF13" s="13">
        <f>ROUND(SUM($D$13,$I$13,$N$13,$S$13,$X$13),2)</f>
        <v>243.41</v>
      </c>
      <c r="AG13" s="13">
        <f>ROUND(SUM($G$13,$L$13,$Q$13,$V$13,$AA$13),2)</f>
        <v>20316.37</v>
      </c>
    </row>
    <row r="14" spans="1:33">
      <c r="A14" s="17">
        <f>ROW()-3</f>
        <v>10</v>
      </c>
      <c r="B14" s="18" t="str">
        <f>TEXT(EDATE(StartDate,A14-1),"mmm yyyy")</f>
        <v>Jan 2027</v>
      </c>
      <c r="C14" s="13">
        <f>$G$13</f>
        <v>847.04</v>
      </c>
      <c r="D14" s="13">
        <f>ROUND(IF($C$14&lt;=0,0,$C$14*StoreCardAPR/12),2)</f>
        <v>20.46</v>
      </c>
      <c r="E14" s="13">
        <f>ROUND(IF($C$14&lt;=0,0,MIN(StoreCardMinPayment,$C$14+$D$14)),2)</f>
        <v>87.0</v>
      </c>
      <c r="F14" s="13">
        <f>ROUND(IF($C$14&lt;=0,0,MIN(MAX(0,$C$14+$D$14-$E$14),MAX(0,$AD$14))),2)</f>
        <v>190.0</v>
      </c>
      <c r="G14" s="13">
        <f>ROUND(MAX(0,$C$14+$D$14-$E$14-$F$14),2)</f>
        <v>590.5</v>
      </c>
      <c r="H14" s="13">
        <f>$L$13</f>
        <v>5825.29</v>
      </c>
      <c r="I14" s="13">
        <f>ROUND(IF($H$14&lt;=0,0,$H$14*CreditUnionVisaAPR/12),2)</f>
        <v>121.31</v>
      </c>
      <c r="J14" s="13">
        <f>ROUND(IF($H$14&lt;=0,0,MIN(CreditUnionVisaMinPayment,$H$14+$I$14)),2)</f>
        <v>192.0</v>
      </c>
      <c r="K14" s="13">
        <f>ROUND(IF($H$14&lt;=0,0,MIN(MAX(0,$H$14+$I$14-$J$14),MAX(0,$AD$14-$F$14))),2)</f>
        <v>0.0</v>
      </c>
      <c r="L14" s="13">
        <f>ROUND(MAX(0,$H$14+$I$14-$J$14-$K$14),2)</f>
        <v>5754.6</v>
      </c>
      <c r="M14" s="13">
        <f>$Q$13</f>
        <v>4733.68</v>
      </c>
      <c r="N14" s="13">
        <f>ROUND(IF($M$14&lt;=0,0,$M$14*PersonalLoanAPR/12),2)</f>
        <v>49.27</v>
      </c>
      <c r="O14" s="13">
        <f>ROUND(IF($M$14&lt;=0,0,MIN(PersonalLoanMinPayment,$M$14+$N$14)),2)</f>
        <v>174.0</v>
      </c>
      <c r="P14" s="13">
        <f>ROUND(IF($M$14&lt;=0,0,MIN(MAX(0,$M$14+$N$14-$O$14),MAX(0,$AD$14-$F$14-$K$14))),2)</f>
        <v>0.0</v>
      </c>
      <c r="Q14" s="13">
        <f>ROUND(MAX(0,$M$14+$N$14-$O$14-$P$14),2)</f>
        <v>4608.95</v>
      </c>
      <c r="R14" s="13">
        <f>$V$13</f>
        <v>8215.36</v>
      </c>
      <c r="S14" s="13">
        <f>ROUND(IF($R$14&lt;=0,0,$R$14*UsedAutoLoanAPR/12),2)</f>
        <v>42.72</v>
      </c>
      <c r="T14" s="13">
        <f>ROUND(IF($R$14&lt;=0,0,MIN(UsedAutoLoanMinPayment,$R$14+$S$14)),2)</f>
        <v>212.0</v>
      </c>
      <c r="U14" s="13">
        <f>ROUND(IF($R$14&lt;=0,0,MIN(MAX(0,$R$14+$S$14-$T$14),MAX(0,$AD$14-$F$14-$K$14-$P$14))),2)</f>
        <v>0.0</v>
      </c>
      <c r="V14" s="13">
        <f>ROUND(MAX(0,$R$14+$S$14-$T$14-$U$14),2)</f>
        <v>8046.08</v>
      </c>
      <c r="W14" s="13">
        <f>$AA$13</f>
        <v>695.0</v>
      </c>
      <c r="X14" s="13">
        <f>ROUND(IF($W$14&lt;=0,0,$W$14*MedicalPlanAPR/12),2)</f>
        <v>0.0</v>
      </c>
      <c r="Y14" s="13">
        <f>ROUND(IF($W$14&lt;=0,0,MIN(MedicalPlanMinPayment,$W$14+$X$14)),2)</f>
        <v>45.0</v>
      </c>
      <c r="Z14" s="13">
        <f>ROUND(IF($W$14&lt;=0,0,MIN(MAX(0,$W$14+$X$14-$Y$14),MAX(0,$AD$14-$F$14-$K$14-$P$14-$U$14))),2)</f>
        <v>0.0</v>
      </c>
      <c r="AA14" s="13">
        <f>ROUND(MAX(0,$W$14+$X$14-$Y$14-$Z$14),2)</f>
        <v>650.0</v>
      </c>
      <c r="AB14" s="13">
        <f>ROUND(LateWindfallBaseExtra+LateWindfallPermanentLift+IF(A14&lt;=LateWindfallTempMonths,LateWindfallTempBoost,0),2)</f>
        <v>190.0</v>
      </c>
      <c r="AC14" s="13">
        <f>IF(A14=LateWindfallWindfallMonth,LateWindfallWindfall,0)</f>
        <v>0.0</v>
      </c>
      <c r="AD14" s="13">
        <f>ROUND($AB$14+$AC$14+IF($G$13&lt;=0,StoreCardMinPayment,0)+IF($L$13&lt;=0,CreditUnionVisaMinPayment,0)+IF($Q$13&lt;=0,PersonalLoanMinPayment,0)+IF($V$13&lt;=0,UsedAutoLoanMinPayment,0)+IF($AA$13&lt;=0,MedicalPlanMinPayment,0),2)</f>
        <v>190.0</v>
      </c>
      <c r="AE14" s="18" t="str">
        <f>IF($F$14&gt;0,Inputs!A6,IF($K$14&gt;0,Inputs!A7,IF($P$14&gt;0,Inputs!A8,IF($U$14&gt;0,Inputs!A9,IF($Z$14&gt;0,Inputs!A5,"")))))</f>
        <v>Store Card</v>
      </c>
      <c r="AF14" s="13">
        <f>ROUND(SUM($D$14,$I$14,$N$14,$S$14,$X$14),2)</f>
        <v>233.76</v>
      </c>
      <c r="AG14" s="13">
        <f>ROUND(SUM($G$14,$L$14,$Q$14,$V$14,$AA$14),2)</f>
        <v>19650.13</v>
      </c>
    </row>
    <row r="15" spans="1:33">
      <c r="A15" s="17">
        <f>ROW()-3</f>
        <v>11</v>
      </c>
      <c r="B15" s="18" t="str">
        <f>TEXT(EDATE(StartDate,A15-1),"mmm yyyy")</f>
        <v>Feb 2027</v>
      </c>
      <c r="C15" s="13">
        <f>$G$14</f>
        <v>590.5</v>
      </c>
      <c r="D15" s="13">
        <f>ROUND(IF($C$15&lt;=0,0,$C$15*StoreCardAPR/12),2)</f>
        <v>14.27</v>
      </c>
      <c r="E15" s="13">
        <f>ROUND(IF($C$15&lt;=0,0,MIN(StoreCardMinPayment,$C$15+$D$15)),2)</f>
        <v>87.0</v>
      </c>
      <c r="F15" s="13">
        <f>ROUND(IF($C$15&lt;=0,0,MIN(MAX(0,$C$15+$D$15-$E$15),MAX(0,$AD$15))),2)</f>
        <v>190.0</v>
      </c>
      <c r="G15" s="13">
        <f>ROUND(MAX(0,$C$15+$D$15-$E$15-$F$15),2)</f>
        <v>327.77</v>
      </c>
      <c r="H15" s="13">
        <f>$L$14</f>
        <v>5754.6</v>
      </c>
      <c r="I15" s="13">
        <f>ROUND(IF($H$15&lt;=0,0,$H$15*CreditUnionVisaAPR/12),2)</f>
        <v>119.84</v>
      </c>
      <c r="J15" s="13">
        <f>ROUND(IF($H$15&lt;=0,0,MIN(CreditUnionVisaMinPayment,$H$15+$I$15)),2)</f>
        <v>192.0</v>
      </c>
      <c r="K15" s="13">
        <f>ROUND(IF($H$15&lt;=0,0,MIN(MAX(0,$H$15+$I$15-$J$15),MAX(0,$AD$15-$F$15))),2)</f>
        <v>0.0</v>
      </c>
      <c r="L15" s="13">
        <f>ROUND(MAX(0,$H$15+$I$15-$J$15-$K$15),2)</f>
        <v>5682.44</v>
      </c>
      <c r="M15" s="13">
        <f>$Q$14</f>
        <v>4608.95</v>
      </c>
      <c r="N15" s="13">
        <f>ROUND(IF($M$15&lt;=0,0,$M$15*PersonalLoanAPR/12),2)</f>
        <v>47.97</v>
      </c>
      <c r="O15" s="13">
        <f>ROUND(IF($M$15&lt;=0,0,MIN(PersonalLoanMinPayment,$M$15+$N$15)),2)</f>
        <v>174.0</v>
      </c>
      <c r="P15" s="13">
        <f>ROUND(IF($M$15&lt;=0,0,MIN(MAX(0,$M$15+$N$15-$O$15),MAX(0,$AD$15-$F$15-$K$15))),2)</f>
        <v>0.0</v>
      </c>
      <c r="Q15" s="13">
        <f>ROUND(MAX(0,$M$15+$N$15-$O$15-$P$15),2)</f>
        <v>4482.92</v>
      </c>
      <c r="R15" s="13">
        <f>$V$14</f>
        <v>8046.08</v>
      </c>
      <c r="S15" s="13">
        <f>ROUND(IF($R$15&lt;=0,0,$R$15*UsedAutoLoanAPR/12),2)</f>
        <v>41.84</v>
      </c>
      <c r="T15" s="13">
        <f>ROUND(IF($R$15&lt;=0,0,MIN(UsedAutoLoanMinPayment,$R$15+$S$15)),2)</f>
        <v>212.0</v>
      </c>
      <c r="U15" s="13">
        <f>ROUND(IF($R$15&lt;=0,0,MIN(MAX(0,$R$15+$S$15-$T$15),MAX(0,$AD$15-$F$15-$K$15-$P$15))),2)</f>
        <v>0.0</v>
      </c>
      <c r="V15" s="13">
        <f>ROUND(MAX(0,$R$15+$S$15-$T$15-$U$15),2)</f>
        <v>7875.92</v>
      </c>
      <c r="W15" s="13">
        <f>$AA$14</f>
        <v>650.0</v>
      </c>
      <c r="X15" s="13">
        <f>ROUND(IF($W$15&lt;=0,0,$W$15*MedicalPlanAPR/12),2)</f>
        <v>0.0</v>
      </c>
      <c r="Y15" s="13">
        <f>ROUND(IF($W$15&lt;=0,0,MIN(MedicalPlanMinPayment,$W$15+$X$15)),2)</f>
        <v>45.0</v>
      </c>
      <c r="Z15" s="13">
        <f>ROUND(IF($W$15&lt;=0,0,MIN(MAX(0,$W$15+$X$15-$Y$15),MAX(0,$AD$15-$F$15-$K$15-$P$15-$U$15))),2)</f>
        <v>0.0</v>
      </c>
      <c r="AA15" s="13">
        <f>ROUND(MAX(0,$W$15+$X$15-$Y$15-$Z$15),2)</f>
        <v>605.0</v>
      </c>
      <c r="AB15" s="13">
        <f>ROUND(LateWindfallBaseExtra+LateWindfallPermanentLift+IF(A15&lt;=LateWindfallTempMonths,LateWindfallTempBoost,0),2)</f>
        <v>190.0</v>
      </c>
      <c r="AC15" s="13">
        <f>IF(A15=LateWindfallWindfallMonth,LateWindfallWindfall,0)</f>
        <v>0.0</v>
      </c>
      <c r="AD15" s="13">
        <f>ROUND($AB$15+$AC$15+IF($G$14&lt;=0,StoreCardMinPayment,0)+IF($L$14&lt;=0,CreditUnionVisaMinPayment,0)+IF($Q$14&lt;=0,PersonalLoanMinPayment,0)+IF($V$14&lt;=0,UsedAutoLoanMinPayment,0)+IF($AA$14&lt;=0,MedicalPlanMinPayment,0),2)</f>
        <v>190.0</v>
      </c>
      <c r="AE15" s="18" t="str">
        <f>IF($F$15&gt;0,Inputs!A6,IF($K$15&gt;0,Inputs!A7,IF($P$15&gt;0,Inputs!A8,IF($U$15&gt;0,Inputs!A9,IF($Z$15&gt;0,Inputs!A5,"")))))</f>
        <v>Store Card</v>
      </c>
      <c r="AF15" s="13">
        <f>ROUND(SUM($D$15,$I$15,$N$15,$S$15,$X$15),2)</f>
        <v>223.92</v>
      </c>
      <c r="AG15" s="13">
        <f>ROUND(SUM($G$15,$L$15,$Q$15,$V$15,$AA$15),2)</f>
        <v>18974.05</v>
      </c>
    </row>
    <row r="16" spans="1:33">
      <c r="A16" s="17">
        <f>ROW()-3</f>
        <v>12</v>
      </c>
      <c r="B16" s="18" t="str">
        <f>TEXT(EDATE(StartDate,A16-1),"mmm yyyy")</f>
        <v>Mar 2027</v>
      </c>
      <c r="C16" s="13">
        <f>$G$15</f>
        <v>327.77</v>
      </c>
      <c r="D16" s="13">
        <f>ROUND(IF($C$16&lt;=0,0,$C$16*StoreCardAPR/12),2)</f>
        <v>7.92</v>
      </c>
      <c r="E16" s="13">
        <f>ROUND(IF($C$16&lt;=0,0,MIN(StoreCardMinPayment,$C$16+$D$16)),2)</f>
        <v>87.0</v>
      </c>
      <c r="F16" s="13">
        <f>ROUND(IF($C$16&lt;=0,0,MIN(MAX(0,$C$16+$D$16-$E$16),MAX(0,$AD$16))),2)</f>
        <v>248.69</v>
      </c>
      <c r="G16" s="13">
        <f>ROUND(MAX(0,$C$16+$D$16-$E$16-$F$16),2)</f>
        <v>0.0</v>
      </c>
      <c r="H16" s="13">
        <f>$L$15</f>
        <v>5682.44</v>
      </c>
      <c r="I16" s="13">
        <f>ROUND(IF($H$16&lt;=0,0,$H$16*CreditUnionVisaAPR/12),2)</f>
        <v>118.34</v>
      </c>
      <c r="J16" s="13">
        <f>ROUND(IF($H$16&lt;=0,0,MIN(CreditUnionVisaMinPayment,$H$16+$I$16)),2)</f>
        <v>192.0</v>
      </c>
      <c r="K16" s="13">
        <f>ROUND(IF($H$16&lt;=0,0,MIN(MAX(0,$H$16+$I$16-$J$16),MAX(0,$AD$16-$F$16))),2)</f>
        <v>1541.31</v>
      </c>
      <c r="L16" s="13">
        <f>ROUND(MAX(0,$H$16+$I$16-$J$16-$K$16),2)</f>
        <v>4067.47</v>
      </c>
      <c r="M16" s="13">
        <f>$Q$15</f>
        <v>4482.92</v>
      </c>
      <c r="N16" s="13">
        <f>ROUND(IF($M$16&lt;=0,0,$M$16*PersonalLoanAPR/12),2)</f>
        <v>46.66</v>
      </c>
      <c r="O16" s="13">
        <f>ROUND(IF($M$16&lt;=0,0,MIN(PersonalLoanMinPayment,$M$16+$N$16)),2)</f>
        <v>174.0</v>
      </c>
      <c r="P16" s="13">
        <f>ROUND(IF($M$16&lt;=0,0,MIN(MAX(0,$M$16+$N$16-$O$16),MAX(0,$AD$16-$F$16-$K$16))),2)</f>
        <v>0.0</v>
      </c>
      <c r="Q16" s="13">
        <f>ROUND(MAX(0,$M$16+$N$16-$O$16-$P$16),2)</f>
        <v>4355.58</v>
      </c>
      <c r="R16" s="13">
        <f>$V$15</f>
        <v>7875.92</v>
      </c>
      <c r="S16" s="13">
        <f>ROUND(IF($R$16&lt;=0,0,$R$16*UsedAutoLoanAPR/12),2)</f>
        <v>40.95</v>
      </c>
      <c r="T16" s="13">
        <f>ROUND(IF($R$16&lt;=0,0,MIN(UsedAutoLoanMinPayment,$R$16+$S$16)),2)</f>
        <v>212.0</v>
      </c>
      <c r="U16" s="13">
        <f>ROUND(IF($R$16&lt;=0,0,MIN(MAX(0,$R$16+$S$16-$T$16),MAX(0,$AD$16-$F$16-$K$16-$P$16))),2)</f>
        <v>0.0</v>
      </c>
      <c r="V16" s="13">
        <f>ROUND(MAX(0,$R$16+$S$16-$T$16-$U$16),2)</f>
        <v>7704.87</v>
      </c>
      <c r="W16" s="13">
        <f>$AA$15</f>
        <v>605.0</v>
      </c>
      <c r="X16" s="13">
        <f>ROUND(IF($W$16&lt;=0,0,$W$16*MedicalPlanAPR/12),2)</f>
        <v>0.0</v>
      </c>
      <c r="Y16" s="13">
        <f>ROUND(IF($W$16&lt;=0,0,MIN(MedicalPlanMinPayment,$W$16+$X$16)),2)</f>
        <v>45.0</v>
      </c>
      <c r="Z16" s="13">
        <f>ROUND(IF($W$16&lt;=0,0,MIN(MAX(0,$W$16+$X$16-$Y$16),MAX(0,$AD$16-$F$16-$K$16-$P$16-$U$16))),2)</f>
        <v>0.0</v>
      </c>
      <c r="AA16" s="13">
        <f>ROUND(MAX(0,$W$16+$X$16-$Y$16-$Z$16),2)</f>
        <v>560.0</v>
      </c>
      <c r="AB16" s="13">
        <f>ROUND(LateWindfallBaseExtra+LateWindfallPermanentLift+IF(A16&lt;=LateWindfallTempMonths,LateWindfallTempBoost,0),2)</f>
        <v>190.0</v>
      </c>
      <c r="AC16" s="13">
        <f>IF(A16=LateWindfallWindfallMonth,LateWindfallWindfall,0)</f>
        <v>1600.0</v>
      </c>
      <c r="AD16" s="13">
        <f>ROUND($AB$16+$AC$16+IF($G$15&lt;=0,StoreCardMinPayment,0)+IF($L$15&lt;=0,CreditUnionVisaMinPayment,0)+IF($Q$15&lt;=0,PersonalLoanMinPayment,0)+IF($V$15&lt;=0,UsedAutoLoanMinPayment,0)+IF($AA$15&lt;=0,MedicalPlanMinPayment,0),2)</f>
        <v>1790.0</v>
      </c>
      <c r="AE16" s="18" t="str">
        <f>IF($F$16&gt;0,Inputs!A6,IF($K$16&gt;0,Inputs!A7,IF($P$16&gt;0,Inputs!A8,IF($U$16&gt;0,Inputs!A9,IF($Z$16&gt;0,Inputs!A5,"")))))</f>
        <v>Store Card</v>
      </c>
      <c r="AF16" s="13">
        <f>ROUND(SUM($D$16,$I$16,$N$16,$S$16,$X$16),2)</f>
        <v>213.87</v>
      </c>
      <c r="AG16" s="13">
        <f>ROUND(SUM($G$16,$L$16,$Q$16,$V$16,$AA$16),2)</f>
        <v>16687.92</v>
      </c>
    </row>
    <row r="17" spans="1:33">
      <c r="A17" s="17">
        <f>ROW()-3</f>
        <v>13</v>
      </c>
      <c r="B17" s="18" t="str">
        <f>TEXT(EDATE(StartDate,A17-1),"mmm yyyy")</f>
        <v>Apr 2027</v>
      </c>
      <c r="C17" s="13">
        <f>$G$16</f>
        <v>0.0</v>
      </c>
      <c r="D17" s="13">
        <f>ROUND(IF($C$17&lt;=0,0,$C$17*StoreCardAPR/12),2)</f>
        <v>0.0</v>
      </c>
      <c r="E17" s="13">
        <f>ROUND(IF($C$17&lt;=0,0,MIN(StoreCardMinPayment,$C$17+$D$17)),2)</f>
        <v>0.0</v>
      </c>
      <c r="F17" s="13">
        <f>ROUND(IF($C$17&lt;=0,0,MIN(MAX(0,$C$17+$D$17-$E$17),MAX(0,$AD$17))),2)</f>
        <v>0.0</v>
      </c>
      <c r="G17" s="13">
        <f>ROUND(MAX(0,$C$17+$D$17-$E$17-$F$17),2)</f>
        <v>0.0</v>
      </c>
      <c r="H17" s="13">
        <f>$L$16</f>
        <v>4067.47</v>
      </c>
      <c r="I17" s="13">
        <f>ROUND(IF($H$17&lt;=0,0,$H$17*CreditUnionVisaAPR/12),2)</f>
        <v>84.71</v>
      </c>
      <c r="J17" s="13">
        <f>ROUND(IF($H$17&lt;=0,0,MIN(CreditUnionVisaMinPayment,$H$17+$I$17)),2)</f>
        <v>192.0</v>
      </c>
      <c r="K17" s="13">
        <f>ROUND(IF($H$17&lt;=0,0,MIN(MAX(0,$H$17+$I$17-$J$17),MAX(0,$AD$17-$F$17))),2)</f>
        <v>277.0</v>
      </c>
      <c r="L17" s="13">
        <f>ROUND(MAX(0,$H$17+$I$17-$J$17-$K$17),2)</f>
        <v>3683.18</v>
      </c>
      <c r="M17" s="13">
        <f>$Q$16</f>
        <v>4355.58</v>
      </c>
      <c r="N17" s="13">
        <f>ROUND(IF($M$17&lt;=0,0,$M$17*PersonalLoanAPR/12),2)</f>
        <v>45.33</v>
      </c>
      <c r="O17" s="13">
        <f>ROUND(IF($M$17&lt;=0,0,MIN(PersonalLoanMinPayment,$M$17+$N$17)),2)</f>
        <v>174.0</v>
      </c>
      <c r="P17" s="13">
        <f>ROUND(IF($M$17&lt;=0,0,MIN(MAX(0,$M$17+$N$17-$O$17),MAX(0,$AD$17-$F$17-$K$17))),2)</f>
        <v>0.0</v>
      </c>
      <c r="Q17" s="13">
        <f>ROUND(MAX(0,$M$17+$N$17-$O$17-$P$17),2)</f>
        <v>4226.91</v>
      </c>
      <c r="R17" s="13">
        <f>$V$16</f>
        <v>7704.87</v>
      </c>
      <c r="S17" s="13">
        <f>ROUND(IF($R$17&lt;=0,0,$R$17*UsedAutoLoanAPR/12),2)</f>
        <v>40.07</v>
      </c>
      <c r="T17" s="13">
        <f>ROUND(IF($R$17&lt;=0,0,MIN(UsedAutoLoanMinPayment,$R$17+$S$17)),2)</f>
        <v>212.0</v>
      </c>
      <c r="U17" s="13">
        <f>ROUND(IF($R$17&lt;=0,0,MIN(MAX(0,$R$17+$S$17-$T$17),MAX(0,$AD$17-$F$17-$K$17-$P$17))),2)</f>
        <v>0.0</v>
      </c>
      <c r="V17" s="13">
        <f>ROUND(MAX(0,$R$17+$S$17-$T$17-$U$17),2)</f>
        <v>7532.94</v>
      </c>
      <c r="W17" s="13">
        <f>$AA$16</f>
        <v>560.0</v>
      </c>
      <c r="X17" s="13">
        <f>ROUND(IF($W$17&lt;=0,0,$W$17*MedicalPlanAPR/12),2)</f>
        <v>0.0</v>
      </c>
      <c r="Y17" s="13">
        <f>ROUND(IF($W$17&lt;=0,0,MIN(MedicalPlanMinPayment,$W$17+$X$17)),2)</f>
        <v>45.0</v>
      </c>
      <c r="Z17" s="13">
        <f>ROUND(IF($W$17&lt;=0,0,MIN(MAX(0,$W$17+$X$17-$Y$17),MAX(0,$AD$17-$F$17-$K$17-$P$17-$U$17))),2)</f>
        <v>0.0</v>
      </c>
      <c r="AA17" s="13">
        <f>ROUND(MAX(0,$W$17+$X$17-$Y$17-$Z$17),2)</f>
        <v>515.0</v>
      </c>
      <c r="AB17" s="13">
        <f>ROUND(LateWindfallBaseExtra+LateWindfallPermanentLift+IF(A17&lt;=LateWindfallTempMonths,LateWindfallTempBoost,0),2)</f>
        <v>190.0</v>
      </c>
      <c r="AC17" s="13">
        <f>IF(A17=LateWindfallWindfallMonth,LateWindfallWindfall,0)</f>
        <v>0.0</v>
      </c>
      <c r="AD17" s="13">
        <f>ROUND($AB$17+$AC$17+IF($G$16&lt;=0,StoreCardMinPayment,0)+IF($L$16&lt;=0,CreditUnionVisaMinPayment,0)+IF($Q$16&lt;=0,PersonalLoanMinPayment,0)+IF($V$16&lt;=0,UsedAutoLoanMinPayment,0)+IF($AA$16&lt;=0,MedicalPlanMinPayment,0),2)</f>
        <v>277.0</v>
      </c>
      <c r="AE17" s="18" t="str">
        <f>IF($F$17&gt;0,Inputs!A6,IF($K$17&gt;0,Inputs!A7,IF($P$17&gt;0,Inputs!A8,IF($U$17&gt;0,Inputs!A9,IF($Z$17&gt;0,Inputs!A5,"")))))</f>
        <v>Credit Union Visa</v>
      </c>
      <c r="AF17" s="13">
        <f>ROUND(SUM($D$17,$I$17,$N$17,$S$17,$X$17),2)</f>
        <v>170.11</v>
      </c>
      <c r="AG17" s="13">
        <f>ROUND(SUM($G$17,$L$17,$Q$17,$V$17,$AA$17),2)</f>
        <v>15958.03</v>
      </c>
    </row>
    <row r="18" spans="1:33">
      <c r="A18" s="17">
        <f>ROW()-3</f>
        <v>14</v>
      </c>
      <c r="B18" s="18" t="str">
        <f>TEXT(EDATE(StartDate,A18-1),"mmm yyyy")</f>
        <v>May 2027</v>
      </c>
      <c r="C18" s="13">
        <f>$G$17</f>
        <v>0.0</v>
      </c>
      <c r="D18" s="13">
        <f>ROUND(IF($C$18&lt;=0,0,$C$18*StoreCardAPR/12),2)</f>
        <v>0.0</v>
      </c>
      <c r="E18" s="13">
        <f>ROUND(IF($C$18&lt;=0,0,MIN(StoreCardMinPayment,$C$18+$D$18)),2)</f>
        <v>0.0</v>
      </c>
      <c r="F18" s="13">
        <f>ROUND(IF($C$18&lt;=0,0,MIN(MAX(0,$C$18+$D$18-$E$18),MAX(0,$AD$18))),2)</f>
        <v>0.0</v>
      </c>
      <c r="G18" s="13">
        <f>ROUND(MAX(0,$C$18+$D$18-$E$18-$F$18),2)</f>
        <v>0.0</v>
      </c>
      <c r="H18" s="13">
        <f>$L$17</f>
        <v>3683.18</v>
      </c>
      <c r="I18" s="13">
        <f>ROUND(IF($H$18&lt;=0,0,$H$18*CreditUnionVisaAPR/12),2)</f>
        <v>76.7</v>
      </c>
      <c r="J18" s="13">
        <f>ROUND(IF($H$18&lt;=0,0,MIN(CreditUnionVisaMinPayment,$H$18+$I$18)),2)</f>
        <v>192.0</v>
      </c>
      <c r="K18" s="13">
        <f>ROUND(IF($H$18&lt;=0,0,MIN(MAX(0,$H$18+$I$18-$J$18),MAX(0,$AD$18-$F$18))),2)</f>
        <v>277.0</v>
      </c>
      <c r="L18" s="13">
        <f>ROUND(MAX(0,$H$18+$I$18-$J$18-$K$18),2)</f>
        <v>3290.88</v>
      </c>
      <c r="M18" s="13">
        <f>$Q$17</f>
        <v>4226.91</v>
      </c>
      <c r="N18" s="13">
        <f>ROUND(IF($M$18&lt;=0,0,$M$18*PersonalLoanAPR/12),2)</f>
        <v>44.0</v>
      </c>
      <c r="O18" s="13">
        <f>ROUND(IF($M$18&lt;=0,0,MIN(PersonalLoanMinPayment,$M$18+$N$18)),2)</f>
        <v>174.0</v>
      </c>
      <c r="P18" s="13">
        <f>ROUND(IF($M$18&lt;=0,0,MIN(MAX(0,$M$18+$N$18-$O$18),MAX(0,$AD$18-$F$18-$K$18))),2)</f>
        <v>0.0</v>
      </c>
      <c r="Q18" s="13">
        <f>ROUND(MAX(0,$M$18+$N$18-$O$18-$P$18),2)</f>
        <v>4096.91</v>
      </c>
      <c r="R18" s="13">
        <f>$V$17</f>
        <v>7532.94</v>
      </c>
      <c r="S18" s="13">
        <f>ROUND(IF($R$18&lt;=0,0,$R$18*UsedAutoLoanAPR/12),2)</f>
        <v>39.17</v>
      </c>
      <c r="T18" s="13">
        <f>ROUND(IF($R$18&lt;=0,0,MIN(UsedAutoLoanMinPayment,$R$18+$S$18)),2)</f>
        <v>212.0</v>
      </c>
      <c r="U18" s="13">
        <f>ROUND(IF($R$18&lt;=0,0,MIN(MAX(0,$R$18+$S$18-$T$18),MAX(0,$AD$18-$F$18-$K$18-$P$18))),2)</f>
        <v>0.0</v>
      </c>
      <c r="V18" s="13">
        <f>ROUND(MAX(0,$R$18+$S$18-$T$18-$U$18),2)</f>
        <v>7360.11</v>
      </c>
      <c r="W18" s="13">
        <f>$AA$17</f>
        <v>515.0</v>
      </c>
      <c r="X18" s="13">
        <f>ROUND(IF($W$18&lt;=0,0,$W$18*MedicalPlanAPR/12),2)</f>
        <v>0.0</v>
      </c>
      <c r="Y18" s="13">
        <f>ROUND(IF($W$18&lt;=0,0,MIN(MedicalPlanMinPayment,$W$18+$X$18)),2)</f>
        <v>45.0</v>
      </c>
      <c r="Z18" s="13">
        <f>ROUND(IF($W$18&lt;=0,0,MIN(MAX(0,$W$18+$X$18-$Y$18),MAX(0,$AD$18-$F$18-$K$18-$P$18-$U$18))),2)</f>
        <v>0.0</v>
      </c>
      <c r="AA18" s="13">
        <f>ROUND(MAX(0,$W$18+$X$18-$Y$18-$Z$18),2)</f>
        <v>470.0</v>
      </c>
      <c r="AB18" s="13">
        <f>ROUND(LateWindfallBaseExtra+LateWindfallPermanentLift+IF(A18&lt;=LateWindfallTempMonths,LateWindfallTempBoost,0),2)</f>
        <v>190.0</v>
      </c>
      <c r="AC18" s="13">
        <f>IF(A18=LateWindfallWindfallMonth,LateWindfallWindfall,0)</f>
        <v>0.0</v>
      </c>
      <c r="AD18" s="13">
        <f>ROUND($AB$18+$AC$18+IF($G$17&lt;=0,StoreCardMinPayment,0)+IF($L$17&lt;=0,CreditUnionVisaMinPayment,0)+IF($Q$17&lt;=0,PersonalLoanMinPayment,0)+IF($V$17&lt;=0,UsedAutoLoanMinPayment,0)+IF($AA$17&lt;=0,MedicalPlanMinPayment,0),2)</f>
        <v>277.0</v>
      </c>
      <c r="AE18" s="18" t="str">
        <f>IF($F$18&gt;0,Inputs!A6,IF($K$18&gt;0,Inputs!A7,IF($P$18&gt;0,Inputs!A8,IF($U$18&gt;0,Inputs!A9,IF($Z$18&gt;0,Inputs!A5,"")))))</f>
        <v>Credit Union Visa</v>
      </c>
      <c r="AF18" s="13">
        <f>ROUND(SUM($D$18,$I$18,$N$18,$S$18,$X$18),2)</f>
        <v>159.87</v>
      </c>
      <c r="AG18" s="13">
        <f>ROUND(SUM($G$18,$L$18,$Q$18,$V$18,$AA$18),2)</f>
        <v>15217.9</v>
      </c>
    </row>
    <row r="19" spans="1:33">
      <c r="A19" s="17">
        <f>ROW()-3</f>
        <v>15</v>
      </c>
      <c r="B19" s="18" t="str">
        <f>TEXT(EDATE(StartDate,A19-1),"mmm yyyy")</f>
        <v>Jun 2027</v>
      </c>
      <c r="C19" s="13">
        <f>$G$18</f>
        <v>0.0</v>
      </c>
      <c r="D19" s="13">
        <f>ROUND(IF($C$19&lt;=0,0,$C$19*StoreCardAPR/12),2)</f>
        <v>0.0</v>
      </c>
      <c r="E19" s="13">
        <f>ROUND(IF($C$19&lt;=0,0,MIN(StoreCardMinPayment,$C$19+$D$19)),2)</f>
        <v>0.0</v>
      </c>
      <c r="F19" s="13">
        <f>ROUND(IF($C$19&lt;=0,0,MIN(MAX(0,$C$19+$D$19-$E$19),MAX(0,$AD$19))),2)</f>
        <v>0.0</v>
      </c>
      <c r="G19" s="13">
        <f>ROUND(MAX(0,$C$19+$D$19-$E$19-$F$19),2)</f>
        <v>0.0</v>
      </c>
      <c r="H19" s="13">
        <f>$L$18</f>
        <v>3290.88</v>
      </c>
      <c r="I19" s="13">
        <f>ROUND(IF($H$19&lt;=0,0,$H$19*CreditUnionVisaAPR/12),2)</f>
        <v>68.53</v>
      </c>
      <c r="J19" s="13">
        <f>ROUND(IF($H$19&lt;=0,0,MIN(CreditUnionVisaMinPayment,$H$19+$I$19)),2)</f>
        <v>192.0</v>
      </c>
      <c r="K19" s="13">
        <f>ROUND(IF($H$19&lt;=0,0,MIN(MAX(0,$H$19+$I$19-$J$19),MAX(0,$AD$19-$F$19))),2)</f>
        <v>277.0</v>
      </c>
      <c r="L19" s="13">
        <f>ROUND(MAX(0,$H$19+$I$19-$J$19-$K$19),2)</f>
        <v>2890.41</v>
      </c>
      <c r="M19" s="13">
        <f>$Q$18</f>
        <v>4096.91</v>
      </c>
      <c r="N19" s="13">
        <f>ROUND(IF($M$19&lt;=0,0,$M$19*PersonalLoanAPR/12),2)</f>
        <v>42.64</v>
      </c>
      <c r="O19" s="13">
        <f>ROUND(IF($M$19&lt;=0,0,MIN(PersonalLoanMinPayment,$M$19+$N$19)),2)</f>
        <v>174.0</v>
      </c>
      <c r="P19" s="13">
        <f>ROUND(IF($M$19&lt;=0,0,MIN(MAX(0,$M$19+$N$19-$O$19),MAX(0,$AD$19-$F$19-$K$19))),2)</f>
        <v>0.0</v>
      </c>
      <c r="Q19" s="13">
        <f>ROUND(MAX(0,$M$19+$N$19-$O$19-$P$19),2)</f>
        <v>3965.55</v>
      </c>
      <c r="R19" s="13">
        <f>$V$18</f>
        <v>7360.11</v>
      </c>
      <c r="S19" s="13">
        <f>ROUND(IF($R$19&lt;=0,0,$R$19*UsedAutoLoanAPR/12),2)</f>
        <v>38.27</v>
      </c>
      <c r="T19" s="13">
        <f>ROUND(IF($R$19&lt;=0,0,MIN(UsedAutoLoanMinPayment,$R$19+$S$19)),2)</f>
        <v>212.0</v>
      </c>
      <c r="U19" s="13">
        <f>ROUND(IF($R$19&lt;=0,0,MIN(MAX(0,$R$19+$S$19-$T$19),MAX(0,$AD$19-$F$19-$K$19-$P$19))),2)</f>
        <v>0.0</v>
      </c>
      <c r="V19" s="13">
        <f>ROUND(MAX(0,$R$19+$S$19-$T$19-$U$19),2)</f>
        <v>7186.38</v>
      </c>
      <c r="W19" s="13">
        <f>$AA$18</f>
        <v>470.0</v>
      </c>
      <c r="X19" s="13">
        <f>ROUND(IF($W$19&lt;=0,0,$W$19*MedicalPlanAPR/12),2)</f>
        <v>0.0</v>
      </c>
      <c r="Y19" s="13">
        <f>ROUND(IF($W$19&lt;=0,0,MIN(MedicalPlanMinPayment,$W$19+$X$19)),2)</f>
        <v>45.0</v>
      </c>
      <c r="Z19" s="13">
        <f>ROUND(IF($W$19&lt;=0,0,MIN(MAX(0,$W$19+$X$19-$Y$19),MAX(0,$AD$19-$F$19-$K$19-$P$19-$U$19))),2)</f>
        <v>0.0</v>
      </c>
      <c r="AA19" s="13">
        <f>ROUND(MAX(0,$W$19+$X$19-$Y$19-$Z$19),2)</f>
        <v>425.0</v>
      </c>
      <c r="AB19" s="13">
        <f>ROUND(LateWindfallBaseExtra+LateWindfallPermanentLift+IF(A19&lt;=LateWindfallTempMonths,LateWindfallTempBoost,0),2)</f>
        <v>190.0</v>
      </c>
      <c r="AC19" s="13">
        <f>IF(A19=LateWindfallWindfallMonth,LateWindfallWindfall,0)</f>
        <v>0.0</v>
      </c>
      <c r="AD19" s="13">
        <f>ROUND($AB$19+$AC$19+IF($G$18&lt;=0,StoreCardMinPayment,0)+IF($L$18&lt;=0,CreditUnionVisaMinPayment,0)+IF($Q$18&lt;=0,PersonalLoanMinPayment,0)+IF($V$18&lt;=0,UsedAutoLoanMinPayment,0)+IF($AA$18&lt;=0,MedicalPlanMinPayment,0),2)</f>
        <v>277.0</v>
      </c>
      <c r="AE19" s="18" t="str">
        <f>IF($F$19&gt;0,Inputs!A6,IF($K$19&gt;0,Inputs!A7,IF($P$19&gt;0,Inputs!A8,IF($U$19&gt;0,Inputs!A9,IF($Z$19&gt;0,Inputs!A5,"")))))</f>
        <v>Credit Union Visa</v>
      </c>
      <c r="AF19" s="13">
        <f>ROUND(SUM($D$19,$I$19,$N$19,$S$19,$X$19),2)</f>
        <v>149.44</v>
      </c>
      <c r="AG19" s="13">
        <f>ROUND(SUM($G$19,$L$19,$Q$19,$V$19,$AA$19),2)</f>
        <v>14467.34</v>
      </c>
    </row>
    <row r="20" spans="1:33">
      <c r="A20" s="17">
        <f>ROW()-3</f>
        <v>16</v>
      </c>
      <c r="B20" s="18" t="str">
        <f>TEXT(EDATE(StartDate,A20-1),"mmm yyyy")</f>
        <v>Jul 2027</v>
      </c>
      <c r="C20" s="13">
        <f>$G$19</f>
        <v>0.0</v>
      </c>
      <c r="D20" s="13">
        <f>ROUND(IF($C$20&lt;=0,0,$C$20*StoreCardAPR/12),2)</f>
        <v>0.0</v>
      </c>
      <c r="E20" s="13">
        <f>ROUND(IF($C$20&lt;=0,0,MIN(StoreCardMinPayment,$C$20+$D$20)),2)</f>
        <v>0.0</v>
      </c>
      <c r="F20" s="13">
        <f>ROUND(IF($C$20&lt;=0,0,MIN(MAX(0,$C$20+$D$20-$E$20),MAX(0,$AD$20))),2)</f>
        <v>0.0</v>
      </c>
      <c r="G20" s="13">
        <f>ROUND(MAX(0,$C$20+$D$20-$E$20-$F$20),2)</f>
        <v>0.0</v>
      </c>
      <c r="H20" s="13">
        <f>$L$19</f>
        <v>2890.41</v>
      </c>
      <c r="I20" s="13">
        <f>ROUND(IF($H$20&lt;=0,0,$H$20*CreditUnionVisaAPR/12),2)</f>
        <v>60.19</v>
      </c>
      <c r="J20" s="13">
        <f>ROUND(IF($H$20&lt;=0,0,MIN(CreditUnionVisaMinPayment,$H$20+$I$20)),2)</f>
        <v>192.0</v>
      </c>
      <c r="K20" s="13">
        <f>ROUND(IF($H$20&lt;=0,0,MIN(MAX(0,$H$20+$I$20-$J$20),MAX(0,$AD$20-$F$20))),2)</f>
        <v>277.0</v>
      </c>
      <c r="L20" s="13">
        <f>ROUND(MAX(0,$H$20+$I$20-$J$20-$K$20),2)</f>
        <v>2481.6</v>
      </c>
      <c r="M20" s="13">
        <f>$Q$19</f>
        <v>3965.55</v>
      </c>
      <c r="N20" s="13">
        <f>ROUND(IF($M$20&lt;=0,0,$M$20*PersonalLoanAPR/12),2)</f>
        <v>41.27</v>
      </c>
      <c r="O20" s="13">
        <f>ROUND(IF($M$20&lt;=0,0,MIN(PersonalLoanMinPayment,$M$20+$N$20)),2)</f>
        <v>174.0</v>
      </c>
      <c r="P20" s="13">
        <f>ROUND(IF($M$20&lt;=0,0,MIN(MAX(0,$M$20+$N$20-$O$20),MAX(0,$AD$20-$F$20-$K$20))),2)</f>
        <v>0.0</v>
      </c>
      <c r="Q20" s="13">
        <f>ROUND(MAX(0,$M$20+$N$20-$O$20-$P$20),2)</f>
        <v>3832.82</v>
      </c>
      <c r="R20" s="13">
        <f>$V$19</f>
        <v>7186.38</v>
      </c>
      <c r="S20" s="13">
        <f>ROUND(IF($R$20&lt;=0,0,$R$20*UsedAutoLoanAPR/12),2)</f>
        <v>37.37</v>
      </c>
      <c r="T20" s="13">
        <f>ROUND(IF($R$20&lt;=0,0,MIN(UsedAutoLoanMinPayment,$R$20+$S$20)),2)</f>
        <v>212.0</v>
      </c>
      <c r="U20" s="13">
        <f>ROUND(IF($R$20&lt;=0,0,MIN(MAX(0,$R$20+$S$20-$T$20),MAX(0,$AD$20-$F$20-$K$20-$P$20))),2)</f>
        <v>0.0</v>
      </c>
      <c r="V20" s="13">
        <f>ROUND(MAX(0,$R$20+$S$20-$T$20-$U$20),2)</f>
        <v>7011.75</v>
      </c>
      <c r="W20" s="13">
        <f>$AA$19</f>
        <v>425.0</v>
      </c>
      <c r="X20" s="13">
        <f>ROUND(IF($W$20&lt;=0,0,$W$20*MedicalPlanAPR/12),2)</f>
        <v>0.0</v>
      </c>
      <c r="Y20" s="13">
        <f>ROUND(IF($W$20&lt;=0,0,MIN(MedicalPlanMinPayment,$W$20+$X$20)),2)</f>
        <v>45.0</v>
      </c>
      <c r="Z20" s="13">
        <f>ROUND(IF($W$20&lt;=0,0,MIN(MAX(0,$W$20+$X$20-$Y$20),MAX(0,$AD$20-$F$20-$K$20-$P$20-$U$20))),2)</f>
        <v>0.0</v>
      </c>
      <c r="AA20" s="13">
        <f>ROUND(MAX(0,$W$20+$X$20-$Y$20-$Z$20),2)</f>
        <v>380.0</v>
      </c>
      <c r="AB20" s="13">
        <f>ROUND(LateWindfallBaseExtra+LateWindfallPermanentLift+IF(A20&lt;=LateWindfallTempMonths,LateWindfallTempBoost,0),2)</f>
        <v>190.0</v>
      </c>
      <c r="AC20" s="13">
        <f>IF(A20=LateWindfallWindfallMonth,LateWindfallWindfall,0)</f>
        <v>0.0</v>
      </c>
      <c r="AD20" s="13">
        <f>ROUND($AB$20+$AC$20+IF($G$19&lt;=0,StoreCardMinPayment,0)+IF($L$19&lt;=0,CreditUnionVisaMinPayment,0)+IF($Q$19&lt;=0,PersonalLoanMinPayment,0)+IF($V$19&lt;=0,UsedAutoLoanMinPayment,0)+IF($AA$19&lt;=0,MedicalPlanMinPayment,0),2)</f>
        <v>277.0</v>
      </c>
      <c r="AE20" s="18" t="str">
        <f>IF($F$20&gt;0,Inputs!A6,IF($K$20&gt;0,Inputs!A7,IF($P$20&gt;0,Inputs!A8,IF($U$20&gt;0,Inputs!A9,IF($Z$20&gt;0,Inputs!A5,"")))))</f>
        <v>Credit Union Visa</v>
      </c>
      <c r="AF20" s="13">
        <f>ROUND(SUM($D$20,$I$20,$N$20,$S$20,$X$20),2)</f>
        <v>138.83</v>
      </c>
      <c r="AG20" s="13">
        <f>ROUND(SUM($G$20,$L$20,$Q$20,$V$20,$AA$20),2)</f>
        <v>13706.17</v>
      </c>
    </row>
    <row r="21" spans="1:33">
      <c r="A21" s="17">
        <f>ROW()-3</f>
        <v>17</v>
      </c>
      <c r="B21" s="18" t="str">
        <f>TEXT(EDATE(StartDate,A21-1),"mmm yyyy")</f>
        <v>Aug 2027</v>
      </c>
      <c r="C21" s="13">
        <f>$G$20</f>
        <v>0.0</v>
      </c>
      <c r="D21" s="13">
        <f>ROUND(IF($C$21&lt;=0,0,$C$21*StoreCardAPR/12),2)</f>
        <v>0.0</v>
      </c>
      <c r="E21" s="13">
        <f>ROUND(IF($C$21&lt;=0,0,MIN(StoreCardMinPayment,$C$21+$D$21)),2)</f>
        <v>0.0</v>
      </c>
      <c r="F21" s="13">
        <f>ROUND(IF($C$21&lt;=0,0,MIN(MAX(0,$C$21+$D$21-$E$21),MAX(0,$AD$21))),2)</f>
        <v>0.0</v>
      </c>
      <c r="G21" s="13">
        <f>ROUND(MAX(0,$C$21+$D$21-$E$21-$F$21),2)</f>
        <v>0.0</v>
      </c>
      <c r="H21" s="13">
        <f>$L$20</f>
        <v>2481.6</v>
      </c>
      <c r="I21" s="13">
        <f>ROUND(IF($H$21&lt;=0,0,$H$21*CreditUnionVisaAPR/12),2)</f>
        <v>51.68</v>
      </c>
      <c r="J21" s="13">
        <f>ROUND(IF($H$21&lt;=0,0,MIN(CreditUnionVisaMinPayment,$H$21+$I$21)),2)</f>
        <v>192.0</v>
      </c>
      <c r="K21" s="13">
        <f>ROUND(IF($H$21&lt;=0,0,MIN(MAX(0,$H$21+$I$21-$J$21),MAX(0,$AD$21-$F$21))),2)</f>
        <v>277.0</v>
      </c>
      <c r="L21" s="13">
        <f>ROUND(MAX(0,$H$21+$I$21-$J$21-$K$21),2)</f>
        <v>2064.28</v>
      </c>
      <c r="M21" s="13">
        <f>$Q$20</f>
        <v>3832.82</v>
      </c>
      <c r="N21" s="13">
        <f>ROUND(IF($M$21&lt;=0,0,$M$21*PersonalLoanAPR/12),2)</f>
        <v>39.89</v>
      </c>
      <c r="O21" s="13">
        <f>ROUND(IF($M$21&lt;=0,0,MIN(PersonalLoanMinPayment,$M$21+$N$21)),2)</f>
        <v>174.0</v>
      </c>
      <c r="P21" s="13">
        <f>ROUND(IF($M$21&lt;=0,0,MIN(MAX(0,$M$21+$N$21-$O$21),MAX(0,$AD$21-$F$21-$K$21))),2)</f>
        <v>0.0</v>
      </c>
      <c r="Q21" s="13">
        <f>ROUND(MAX(0,$M$21+$N$21-$O$21-$P$21),2)</f>
        <v>3698.71</v>
      </c>
      <c r="R21" s="13">
        <f>$V$20</f>
        <v>7011.75</v>
      </c>
      <c r="S21" s="13">
        <f>ROUND(IF($R$21&lt;=0,0,$R$21*UsedAutoLoanAPR/12),2)</f>
        <v>36.46</v>
      </c>
      <c r="T21" s="13">
        <f>ROUND(IF($R$21&lt;=0,0,MIN(UsedAutoLoanMinPayment,$R$21+$S$21)),2)</f>
        <v>212.0</v>
      </c>
      <c r="U21" s="13">
        <f>ROUND(IF($R$21&lt;=0,0,MIN(MAX(0,$R$21+$S$21-$T$21),MAX(0,$AD$21-$F$21-$K$21-$P$21))),2)</f>
        <v>0.0</v>
      </c>
      <c r="V21" s="13">
        <f>ROUND(MAX(0,$R$21+$S$21-$T$21-$U$21),2)</f>
        <v>6836.21</v>
      </c>
      <c r="W21" s="13">
        <f>$AA$20</f>
        <v>380.0</v>
      </c>
      <c r="X21" s="13">
        <f>ROUND(IF($W$21&lt;=0,0,$W$21*MedicalPlanAPR/12),2)</f>
        <v>0.0</v>
      </c>
      <c r="Y21" s="13">
        <f>ROUND(IF($W$21&lt;=0,0,MIN(MedicalPlanMinPayment,$W$21+$X$21)),2)</f>
        <v>45.0</v>
      </c>
      <c r="Z21" s="13">
        <f>ROUND(IF($W$21&lt;=0,0,MIN(MAX(0,$W$21+$X$21-$Y$21),MAX(0,$AD$21-$F$21-$K$21-$P$21-$U$21))),2)</f>
        <v>0.0</v>
      </c>
      <c r="AA21" s="13">
        <f>ROUND(MAX(0,$W$21+$X$21-$Y$21-$Z$21),2)</f>
        <v>335.0</v>
      </c>
      <c r="AB21" s="13">
        <f>ROUND(LateWindfallBaseExtra+LateWindfallPermanentLift+IF(A21&lt;=LateWindfallTempMonths,LateWindfallTempBoost,0),2)</f>
        <v>190.0</v>
      </c>
      <c r="AC21" s="13">
        <f>IF(A21=LateWindfallWindfallMonth,LateWindfallWindfall,0)</f>
        <v>0.0</v>
      </c>
      <c r="AD21" s="13">
        <f>ROUND($AB$21+$AC$21+IF($G$20&lt;=0,StoreCardMinPayment,0)+IF($L$20&lt;=0,CreditUnionVisaMinPayment,0)+IF($Q$20&lt;=0,PersonalLoanMinPayment,0)+IF($V$20&lt;=0,UsedAutoLoanMinPayment,0)+IF($AA$20&lt;=0,MedicalPlanMinPayment,0),2)</f>
        <v>277.0</v>
      </c>
      <c r="AE21" s="18" t="str">
        <f>IF($F$21&gt;0,Inputs!A6,IF($K$21&gt;0,Inputs!A7,IF($P$21&gt;0,Inputs!A8,IF($U$21&gt;0,Inputs!A9,IF($Z$21&gt;0,Inputs!A5,"")))))</f>
        <v>Credit Union Visa</v>
      </c>
      <c r="AF21" s="13">
        <f>ROUND(SUM($D$21,$I$21,$N$21,$S$21,$X$21),2)</f>
        <v>128.03</v>
      </c>
      <c r="AG21" s="13">
        <f>ROUND(SUM($G$21,$L$21,$Q$21,$V$21,$AA$21),2)</f>
        <v>12934.2</v>
      </c>
    </row>
    <row r="22" spans="1:33">
      <c r="A22" s="17">
        <f>ROW()-3</f>
        <v>18</v>
      </c>
      <c r="B22" s="18" t="str">
        <f>TEXT(EDATE(StartDate,A22-1),"mmm yyyy")</f>
        <v>Sep 2027</v>
      </c>
      <c r="C22" s="13">
        <f>$G$21</f>
        <v>0.0</v>
      </c>
      <c r="D22" s="13">
        <f>ROUND(IF($C$22&lt;=0,0,$C$22*StoreCardAPR/12),2)</f>
        <v>0.0</v>
      </c>
      <c r="E22" s="13">
        <f>ROUND(IF($C$22&lt;=0,0,MIN(StoreCardMinPayment,$C$22+$D$22)),2)</f>
        <v>0.0</v>
      </c>
      <c r="F22" s="13">
        <f>ROUND(IF($C$22&lt;=0,0,MIN(MAX(0,$C$22+$D$22-$E$22),MAX(0,$AD$22))),2)</f>
        <v>0.0</v>
      </c>
      <c r="G22" s="13">
        <f>ROUND(MAX(0,$C$22+$D$22-$E$22-$F$22),2)</f>
        <v>0.0</v>
      </c>
      <c r="H22" s="13">
        <f>$L$21</f>
        <v>2064.28</v>
      </c>
      <c r="I22" s="13">
        <f>ROUND(IF($H$22&lt;=0,0,$H$22*CreditUnionVisaAPR/12),2)</f>
        <v>42.99</v>
      </c>
      <c r="J22" s="13">
        <f>ROUND(IF($H$22&lt;=0,0,MIN(CreditUnionVisaMinPayment,$H$22+$I$22)),2)</f>
        <v>192.0</v>
      </c>
      <c r="K22" s="13">
        <f>ROUND(IF($H$22&lt;=0,0,MIN(MAX(0,$H$22+$I$22-$J$22),MAX(0,$AD$22-$F$22))),2)</f>
        <v>277.0</v>
      </c>
      <c r="L22" s="13">
        <f>ROUND(MAX(0,$H$22+$I$22-$J$22-$K$22),2)</f>
        <v>1638.27</v>
      </c>
      <c r="M22" s="13">
        <f>$Q$21</f>
        <v>3698.71</v>
      </c>
      <c r="N22" s="13">
        <f>ROUND(IF($M$22&lt;=0,0,$M$22*PersonalLoanAPR/12),2)</f>
        <v>38.5</v>
      </c>
      <c r="O22" s="13">
        <f>ROUND(IF($M$22&lt;=0,0,MIN(PersonalLoanMinPayment,$M$22+$N$22)),2)</f>
        <v>174.0</v>
      </c>
      <c r="P22" s="13">
        <f>ROUND(IF($M$22&lt;=0,0,MIN(MAX(0,$M$22+$N$22-$O$22),MAX(0,$AD$22-$F$22-$K$22))),2)</f>
        <v>0.0</v>
      </c>
      <c r="Q22" s="13">
        <f>ROUND(MAX(0,$M$22+$N$22-$O$22-$P$22),2)</f>
        <v>3563.21</v>
      </c>
      <c r="R22" s="13">
        <f>$V$21</f>
        <v>6836.21</v>
      </c>
      <c r="S22" s="13">
        <f>ROUND(IF($R$22&lt;=0,0,$R$22*UsedAutoLoanAPR/12),2)</f>
        <v>35.55</v>
      </c>
      <c r="T22" s="13">
        <f>ROUND(IF($R$22&lt;=0,0,MIN(UsedAutoLoanMinPayment,$R$22+$S$22)),2)</f>
        <v>212.0</v>
      </c>
      <c r="U22" s="13">
        <f>ROUND(IF($R$22&lt;=0,0,MIN(MAX(0,$R$22+$S$22-$T$22),MAX(0,$AD$22-$F$22-$K$22-$P$22))),2)</f>
        <v>0.0</v>
      </c>
      <c r="V22" s="13">
        <f>ROUND(MAX(0,$R$22+$S$22-$T$22-$U$22),2)</f>
        <v>6659.76</v>
      </c>
      <c r="W22" s="13">
        <f>$AA$21</f>
        <v>335.0</v>
      </c>
      <c r="X22" s="13">
        <f>ROUND(IF($W$22&lt;=0,0,$W$22*MedicalPlanAPR/12),2)</f>
        <v>0.0</v>
      </c>
      <c r="Y22" s="13">
        <f>ROUND(IF($W$22&lt;=0,0,MIN(MedicalPlanMinPayment,$W$22+$X$22)),2)</f>
        <v>45.0</v>
      </c>
      <c r="Z22" s="13">
        <f>ROUND(IF($W$22&lt;=0,0,MIN(MAX(0,$W$22+$X$22-$Y$22),MAX(0,$AD$22-$F$22-$K$22-$P$22-$U$22))),2)</f>
        <v>0.0</v>
      </c>
      <c r="AA22" s="13">
        <f>ROUND(MAX(0,$W$22+$X$22-$Y$22-$Z$22),2)</f>
        <v>290.0</v>
      </c>
      <c r="AB22" s="13">
        <f>ROUND(LateWindfallBaseExtra+LateWindfallPermanentLift+IF(A22&lt;=LateWindfallTempMonths,LateWindfallTempBoost,0),2)</f>
        <v>190.0</v>
      </c>
      <c r="AC22" s="13">
        <f>IF(A22=LateWindfallWindfallMonth,LateWindfallWindfall,0)</f>
        <v>0.0</v>
      </c>
      <c r="AD22" s="13">
        <f>ROUND($AB$22+$AC$22+IF($G$21&lt;=0,StoreCardMinPayment,0)+IF($L$21&lt;=0,CreditUnionVisaMinPayment,0)+IF($Q$21&lt;=0,PersonalLoanMinPayment,0)+IF($V$21&lt;=0,UsedAutoLoanMinPayment,0)+IF($AA$21&lt;=0,MedicalPlanMinPayment,0),2)</f>
        <v>277.0</v>
      </c>
      <c r="AE22" s="18" t="str">
        <f>IF($F$22&gt;0,Inputs!A6,IF($K$22&gt;0,Inputs!A7,IF($P$22&gt;0,Inputs!A8,IF($U$22&gt;0,Inputs!A9,IF($Z$22&gt;0,Inputs!A5,"")))))</f>
        <v>Credit Union Visa</v>
      </c>
      <c r="AF22" s="13">
        <f>ROUND(SUM($D$22,$I$22,$N$22,$S$22,$X$22),2)</f>
        <v>117.04</v>
      </c>
      <c r="AG22" s="13">
        <f>ROUND(SUM($G$22,$L$22,$Q$22,$V$22,$AA$22),2)</f>
        <v>12151.24</v>
      </c>
    </row>
    <row r="23" spans="1:33">
      <c r="A23" s="17">
        <f>ROW()-3</f>
        <v>19</v>
      </c>
      <c r="B23" s="18" t="str">
        <f>TEXT(EDATE(StartDate,A23-1),"mmm yyyy")</f>
        <v>Oct 2027</v>
      </c>
      <c r="C23" s="13">
        <f>$G$22</f>
        <v>0.0</v>
      </c>
      <c r="D23" s="13">
        <f>ROUND(IF($C$23&lt;=0,0,$C$23*StoreCardAPR/12),2)</f>
        <v>0.0</v>
      </c>
      <c r="E23" s="13">
        <f>ROUND(IF($C$23&lt;=0,0,MIN(StoreCardMinPayment,$C$23+$D$23)),2)</f>
        <v>0.0</v>
      </c>
      <c r="F23" s="13">
        <f>ROUND(IF($C$23&lt;=0,0,MIN(MAX(0,$C$23+$D$23-$E$23),MAX(0,$AD$23))),2)</f>
        <v>0.0</v>
      </c>
      <c r="G23" s="13">
        <f>ROUND(MAX(0,$C$23+$D$23-$E$23-$F$23),2)</f>
        <v>0.0</v>
      </c>
      <c r="H23" s="13">
        <f>$L$22</f>
        <v>1638.27</v>
      </c>
      <c r="I23" s="13">
        <f>ROUND(IF($H$23&lt;=0,0,$H$23*CreditUnionVisaAPR/12),2)</f>
        <v>34.12</v>
      </c>
      <c r="J23" s="13">
        <f>ROUND(IF($H$23&lt;=0,0,MIN(CreditUnionVisaMinPayment,$H$23+$I$23)),2)</f>
        <v>192.0</v>
      </c>
      <c r="K23" s="13">
        <f>ROUND(IF($H$23&lt;=0,0,MIN(MAX(0,$H$23+$I$23-$J$23),MAX(0,$AD$23-$F$23))),2)</f>
        <v>277.0</v>
      </c>
      <c r="L23" s="13">
        <f>ROUND(MAX(0,$H$23+$I$23-$J$23-$K$23),2)</f>
        <v>1203.39</v>
      </c>
      <c r="M23" s="13">
        <f>$Q$22</f>
        <v>3563.21</v>
      </c>
      <c r="N23" s="13">
        <f>ROUND(IF($M$23&lt;=0,0,$M$23*PersonalLoanAPR/12),2)</f>
        <v>37.09</v>
      </c>
      <c r="O23" s="13">
        <f>ROUND(IF($M$23&lt;=0,0,MIN(PersonalLoanMinPayment,$M$23+$N$23)),2)</f>
        <v>174.0</v>
      </c>
      <c r="P23" s="13">
        <f>ROUND(IF($M$23&lt;=0,0,MIN(MAX(0,$M$23+$N$23-$O$23),MAX(0,$AD$23-$F$23-$K$23))),2)</f>
        <v>0.0</v>
      </c>
      <c r="Q23" s="13">
        <f>ROUND(MAX(0,$M$23+$N$23-$O$23-$P$23),2)</f>
        <v>3426.3</v>
      </c>
      <c r="R23" s="13">
        <f>$V$22</f>
        <v>6659.76</v>
      </c>
      <c r="S23" s="13">
        <f>ROUND(IF($R$23&lt;=0,0,$R$23*UsedAutoLoanAPR/12),2)</f>
        <v>34.63</v>
      </c>
      <c r="T23" s="13">
        <f>ROUND(IF($R$23&lt;=0,0,MIN(UsedAutoLoanMinPayment,$R$23+$S$23)),2)</f>
        <v>212.0</v>
      </c>
      <c r="U23" s="13">
        <f>ROUND(IF($R$23&lt;=0,0,MIN(MAX(0,$R$23+$S$23-$T$23),MAX(0,$AD$23-$F$23-$K$23-$P$23))),2)</f>
        <v>0.0</v>
      </c>
      <c r="V23" s="13">
        <f>ROUND(MAX(0,$R$23+$S$23-$T$23-$U$23),2)</f>
        <v>6482.39</v>
      </c>
      <c r="W23" s="13">
        <f>$AA$22</f>
        <v>290.0</v>
      </c>
      <c r="X23" s="13">
        <f>ROUND(IF($W$23&lt;=0,0,$W$23*MedicalPlanAPR/12),2)</f>
        <v>0.0</v>
      </c>
      <c r="Y23" s="13">
        <f>ROUND(IF($W$23&lt;=0,0,MIN(MedicalPlanMinPayment,$W$23+$X$23)),2)</f>
        <v>45.0</v>
      </c>
      <c r="Z23" s="13">
        <f>ROUND(IF($W$23&lt;=0,0,MIN(MAX(0,$W$23+$X$23-$Y$23),MAX(0,$AD$23-$F$23-$K$23-$P$23-$U$23))),2)</f>
        <v>0.0</v>
      </c>
      <c r="AA23" s="13">
        <f>ROUND(MAX(0,$W$23+$X$23-$Y$23-$Z$23),2)</f>
        <v>245.0</v>
      </c>
      <c r="AB23" s="13">
        <f>ROUND(LateWindfallBaseExtra+LateWindfallPermanentLift+IF(A23&lt;=LateWindfallTempMonths,LateWindfallTempBoost,0),2)</f>
        <v>190.0</v>
      </c>
      <c r="AC23" s="13">
        <f>IF(A23=LateWindfallWindfallMonth,LateWindfallWindfall,0)</f>
        <v>0.0</v>
      </c>
      <c r="AD23" s="13">
        <f>ROUND($AB$23+$AC$23+IF($G$22&lt;=0,StoreCardMinPayment,0)+IF($L$22&lt;=0,CreditUnionVisaMinPayment,0)+IF($Q$22&lt;=0,PersonalLoanMinPayment,0)+IF($V$22&lt;=0,UsedAutoLoanMinPayment,0)+IF($AA$22&lt;=0,MedicalPlanMinPayment,0),2)</f>
        <v>277.0</v>
      </c>
      <c r="AE23" s="18" t="str">
        <f>IF($F$23&gt;0,Inputs!A6,IF($K$23&gt;0,Inputs!A7,IF($P$23&gt;0,Inputs!A8,IF($U$23&gt;0,Inputs!A9,IF($Z$23&gt;0,Inputs!A5,"")))))</f>
        <v>Credit Union Visa</v>
      </c>
      <c r="AF23" s="13">
        <f>ROUND(SUM($D$23,$I$23,$N$23,$S$23,$X$23),2)</f>
        <v>105.84</v>
      </c>
      <c r="AG23" s="13">
        <f>ROUND(SUM($G$23,$L$23,$Q$23,$V$23,$AA$23),2)</f>
        <v>11357.08</v>
      </c>
    </row>
    <row r="24" spans="1:33">
      <c r="A24" s="17">
        <f>ROW()-3</f>
        <v>20</v>
      </c>
      <c r="B24" s="18" t="str">
        <f>TEXT(EDATE(StartDate,A24-1),"mmm yyyy")</f>
        <v>Nov 2027</v>
      </c>
      <c r="C24" s="13">
        <f>$G$23</f>
        <v>0.0</v>
      </c>
      <c r="D24" s="13">
        <f>ROUND(IF($C$24&lt;=0,0,$C$24*StoreCardAPR/12),2)</f>
        <v>0.0</v>
      </c>
      <c r="E24" s="13">
        <f>ROUND(IF($C$24&lt;=0,0,MIN(StoreCardMinPayment,$C$24+$D$24)),2)</f>
        <v>0.0</v>
      </c>
      <c r="F24" s="13">
        <f>ROUND(IF($C$24&lt;=0,0,MIN(MAX(0,$C$24+$D$24-$E$24),MAX(0,$AD$24))),2)</f>
        <v>0.0</v>
      </c>
      <c r="G24" s="13">
        <f>ROUND(MAX(0,$C$24+$D$24-$E$24-$F$24),2)</f>
        <v>0.0</v>
      </c>
      <c r="H24" s="13">
        <f>$L$23</f>
        <v>1203.39</v>
      </c>
      <c r="I24" s="13">
        <f>ROUND(IF($H$24&lt;=0,0,$H$24*CreditUnionVisaAPR/12),2)</f>
        <v>25.06</v>
      </c>
      <c r="J24" s="13">
        <f>ROUND(IF($H$24&lt;=0,0,MIN(CreditUnionVisaMinPayment,$H$24+$I$24)),2)</f>
        <v>192.0</v>
      </c>
      <c r="K24" s="13">
        <f>ROUND(IF($H$24&lt;=0,0,MIN(MAX(0,$H$24+$I$24-$J$24),MAX(0,$AD$24-$F$24))),2)</f>
        <v>277.0</v>
      </c>
      <c r="L24" s="13">
        <f>ROUND(MAX(0,$H$24+$I$24-$J$24-$K$24),2)</f>
        <v>759.45</v>
      </c>
      <c r="M24" s="13">
        <f>$Q$23</f>
        <v>3426.3</v>
      </c>
      <c r="N24" s="13">
        <f>ROUND(IF($M$24&lt;=0,0,$M$24*PersonalLoanAPR/12),2)</f>
        <v>35.66</v>
      </c>
      <c r="O24" s="13">
        <f>ROUND(IF($M$24&lt;=0,0,MIN(PersonalLoanMinPayment,$M$24+$N$24)),2)</f>
        <v>174.0</v>
      </c>
      <c r="P24" s="13">
        <f>ROUND(IF($M$24&lt;=0,0,MIN(MAX(0,$M$24+$N$24-$O$24),MAX(0,$AD$24-$F$24-$K$24))),2)</f>
        <v>0.0</v>
      </c>
      <c r="Q24" s="13">
        <f>ROUND(MAX(0,$M$24+$N$24-$O$24-$P$24),2)</f>
        <v>3287.96</v>
      </c>
      <c r="R24" s="13">
        <f>$V$23</f>
        <v>6482.39</v>
      </c>
      <c r="S24" s="13">
        <f>ROUND(IF($R$24&lt;=0,0,$R$24*UsedAutoLoanAPR/12),2)</f>
        <v>33.71</v>
      </c>
      <c r="T24" s="13">
        <f>ROUND(IF($R$24&lt;=0,0,MIN(UsedAutoLoanMinPayment,$R$24+$S$24)),2)</f>
        <v>212.0</v>
      </c>
      <c r="U24" s="13">
        <f>ROUND(IF($R$24&lt;=0,0,MIN(MAX(0,$R$24+$S$24-$T$24),MAX(0,$AD$24-$F$24-$K$24-$P$24))),2)</f>
        <v>0.0</v>
      </c>
      <c r="V24" s="13">
        <f>ROUND(MAX(0,$R$24+$S$24-$T$24-$U$24),2)</f>
        <v>6304.1</v>
      </c>
      <c r="W24" s="13">
        <f>$AA$23</f>
        <v>245.0</v>
      </c>
      <c r="X24" s="13">
        <f>ROUND(IF($W$24&lt;=0,0,$W$24*MedicalPlanAPR/12),2)</f>
        <v>0.0</v>
      </c>
      <c r="Y24" s="13">
        <f>ROUND(IF($W$24&lt;=0,0,MIN(MedicalPlanMinPayment,$W$24+$X$24)),2)</f>
        <v>45.0</v>
      </c>
      <c r="Z24" s="13">
        <f>ROUND(IF($W$24&lt;=0,0,MIN(MAX(0,$W$24+$X$24-$Y$24),MAX(0,$AD$24-$F$24-$K$24-$P$24-$U$24))),2)</f>
        <v>0.0</v>
      </c>
      <c r="AA24" s="13">
        <f>ROUND(MAX(0,$W$24+$X$24-$Y$24-$Z$24),2)</f>
        <v>200.0</v>
      </c>
      <c r="AB24" s="13">
        <f>ROUND(LateWindfallBaseExtra+LateWindfallPermanentLift+IF(A24&lt;=LateWindfallTempMonths,LateWindfallTempBoost,0),2)</f>
        <v>190.0</v>
      </c>
      <c r="AC24" s="13">
        <f>IF(A24=LateWindfallWindfallMonth,LateWindfallWindfall,0)</f>
        <v>0.0</v>
      </c>
      <c r="AD24" s="13">
        <f>ROUND($AB$24+$AC$24+IF($G$23&lt;=0,StoreCardMinPayment,0)+IF($L$23&lt;=0,CreditUnionVisaMinPayment,0)+IF($Q$23&lt;=0,PersonalLoanMinPayment,0)+IF($V$23&lt;=0,UsedAutoLoanMinPayment,0)+IF($AA$23&lt;=0,MedicalPlanMinPayment,0),2)</f>
        <v>277.0</v>
      </c>
      <c r="AE24" s="18" t="str">
        <f>IF($F$24&gt;0,Inputs!A6,IF($K$24&gt;0,Inputs!A7,IF($P$24&gt;0,Inputs!A8,IF($U$24&gt;0,Inputs!A9,IF($Z$24&gt;0,Inputs!A5,"")))))</f>
        <v>Credit Union Visa</v>
      </c>
      <c r="AF24" s="13">
        <f>ROUND(SUM($D$24,$I$24,$N$24,$S$24,$X$24),2)</f>
        <v>94.43</v>
      </c>
      <c r="AG24" s="13">
        <f>ROUND(SUM($G$24,$L$24,$Q$24,$V$24,$AA$24),2)</f>
        <v>10551.51</v>
      </c>
    </row>
    <row r="25" spans="1:33">
      <c r="A25" s="17">
        <f>ROW()-3</f>
        <v>21</v>
      </c>
      <c r="B25" s="18" t="str">
        <f>TEXT(EDATE(StartDate,A25-1),"mmm yyyy")</f>
        <v>Dec 2027</v>
      </c>
      <c r="C25" s="13">
        <f>$G$24</f>
        <v>0.0</v>
      </c>
      <c r="D25" s="13">
        <f>ROUND(IF($C$25&lt;=0,0,$C$25*StoreCardAPR/12),2)</f>
        <v>0.0</v>
      </c>
      <c r="E25" s="13">
        <f>ROUND(IF($C$25&lt;=0,0,MIN(StoreCardMinPayment,$C$25+$D$25)),2)</f>
        <v>0.0</v>
      </c>
      <c r="F25" s="13">
        <f>ROUND(IF($C$25&lt;=0,0,MIN(MAX(0,$C$25+$D$25-$E$25),MAX(0,$AD$25))),2)</f>
        <v>0.0</v>
      </c>
      <c r="G25" s="13">
        <f>ROUND(MAX(0,$C$25+$D$25-$E$25-$F$25),2)</f>
        <v>0.0</v>
      </c>
      <c r="H25" s="13">
        <f>$L$24</f>
        <v>759.45</v>
      </c>
      <c r="I25" s="13">
        <f>ROUND(IF($H$25&lt;=0,0,$H$25*CreditUnionVisaAPR/12),2)</f>
        <v>15.82</v>
      </c>
      <c r="J25" s="13">
        <f>ROUND(IF($H$25&lt;=0,0,MIN(CreditUnionVisaMinPayment,$H$25+$I$25)),2)</f>
        <v>192.0</v>
      </c>
      <c r="K25" s="13">
        <f>ROUND(IF($H$25&lt;=0,0,MIN(MAX(0,$H$25+$I$25-$J$25),MAX(0,$AD$25-$F$25))),2)</f>
        <v>277.0</v>
      </c>
      <c r="L25" s="13">
        <f>ROUND(MAX(0,$H$25+$I$25-$J$25-$K$25),2)</f>
        <v>306.27</v>
      </c>
      <c r="M25" s="13">
        <f>$Q$24</f>
        <v>3287.96</v>
      </c>
      <c r="N25" s="13">
        <f>ROUND(IF($M$25&lt;=0,0,$M$25*PersonalLoanAPR/12),2)</f>
        <v>34.22</v>
      </c>
      <c r="O25" s="13">
        <f>ROUND(IF($M$25&lt;=0,0,MIN(PersonalLoanMinPayment,$M$25+$N$25)),2)</f>
        <v>174.0</v>
      </c>
      <c r="P25" s="13">
        <f>ROUND(IF($M$25&lt;=0,0,MIN(MAX(0,$M$25+$N$25-$O$25),MAX(0,$AD$25-$F$25-$K$25))),2)</f>
        <v>0.0</v>
      </c>
      <c r="Q25" s="13">
        <f>ROUND(MAX(0,$M$25+$N$25-$O$25-$P$25),2)</f>
        <v>3148.18</v>
      </c>
      <c r="R25" s="13">
        <f>$V$24</f>
        <v>6304.1</v>
      </c>
      <c r="S25" s="13">
        <f>ROUND(IF($R$25&lt;=0,0,$R$25*UsedAutoLoanAPR/12),2)</f>
        <v>32.78</v>
      </c>
      <c r="T25" s="13">
        <f>ROUND(IF($R$25&lt;=0,0,MIN(UsedAutoLoanMinPayment,$R$25+$S$25)),2)</f>
        <v>212.0</v>
      </c>
      <c r="U25" s="13">
        <f>ROUND(IF($R$25&lt;=0,0,MIN(MAX(0,$R$25+$S$25-$T$25),MAX(0,$AD$25-$F$25-$K$25-$P$25))),2)</f>
        <v>0.0</v>
      </c>
      <c r="V25" s="13">
        <f>ROUND(MAX(0,$R$25+$S$25-$T$25-$U$25),2)</f>
        <v>6124.88</v>
      </c>
      <c r="W25" s="13">
        <f>$AA$24</f>
        <v>200.0</v>
      </c>
      <c r="X25" s="13">
        <f>ROUND(IF($W$25&lt;=0,0,$W$25*MedicalPlanAPR/12),2)</f>
        <v>0.0</v>
      </c>
      <c r="Y25" s="13">
        <f>ROUND(IF($W$25&lt;=0,0,MIN(MedicalPlanMinPayment,$W$25+$X$25)),2)</f>
        <v>45.0</v>
      </c>
      <c r="Z25" s="13">
        <f>ROUND(IF($W$25&lt;=0,0,MIN(MAX(0,$W$25+$X$25-$Y$25),MAX(0,$AD$25-$F$25-$K$25-$P$25-$U$25))),2)</f>
        <v>0.0</v>
      </c>
      <c r="AA25" s="13">
        <f>ROUND(MAX(0,$W$25+$X$25-$Y$25-$Z$25),2)</f>
        <v>155.0</v>
      </c>
      <c r="AB25" s="13">
        <f>ROUND(LateWindfallBaseExtra+LateWindfallPermanentLift+IF(A25&lt;=LateWindfallTempMonths,LateWindfallTempBoost,0),2)</f>
        <v>190.0</v>
      </c>
      <c r="AC25" s="13">
        <f>IF(A25=LateWindfallWindfallMonth,LateWindfallWindfall,0)</f>
        <v>0.0</v>
      </c>
      <c r="AD25" s="13">
        <f>ROUND($AB$25+$AC$25+IF($G$24&lt;=0,StoreCardMinPayment,0)+IF($L$24&lt;=0,CreditUnionVisaMinPayment,0)+IF($Q$24&lt;=0,PersonalLoanMinPayment,0)+IF($V$24&lt;=0,UsedAutoLoanMinPayment,0)+IF($AA$24&lt;=0,MedicalPlanMinPayment,0),2)</f>
        <v>277.0</v>
      </c>
      <c r="AE25" s="18" t="str">
        <f>IF($F$25&gt;0,Inputs!A6,IF($K$25&gt;0,Inputs!A7,IF($P$25&gt;0,Inputs!A8,IF($U$25&gt;0,Inputs!A9,IF($Z$25&gt;0,Inputs!A5,"")))))</f>
        <v>Credit Union Visa</v>
      </c>
      <c r="AF25" s="13">
        <f>ROUND(SUM($D$25,$I$25,$N$25,$S$25,$X$25),2)</f>
        <v>82.82</v>
      </c>
      <c r="AG25" s="13">
        <f>ROUND(SUM($G$25,$L$25,$Q$25,$V$25,$AA$25),2)</f>
        <v>9734.33</v>
      </c>
    </row>
    <row r="26" spans="1:33">
      <c r="A26" s="17">
        <f>ROW()-3</f>
        <v>22</v>
      </c>
      <c r="B26" s="18" t="str">
        <f>TEXT(EDATE(StartDate,A26-1),"mmm yyyy")</f>
        <v>Jan 2028</v>
      </c>
      <c r="C26" s="13">
        <f>$G$25</f>
        <v>0.0</v>
      </c>
      <c r="D26" s="13">
        <f>ROUND(IF($C$26&lt;=0,0,$C$26*StoreCardAPR/12),2)</f>
        <v>0.0</v>
      </c>
      <c r="E26" s="13">
        <f>ROUND(IF($C$26&lt;=0,0,MIN(StoreCardMinPayment,$C$26+$D$26)),2)</f>
        <v>0.0</v>
      </c>
      <c r="F26" s="13">
        <f>ROUND(IF($C$26&lt;=0,0,MIN(MAX(0,$C$26+$D$26-$E$26),MAX(0,$AD$26))),2)</f>
        <v>0.0</v>
      </c>
      <c r="G26" s="13">
        <f>ROUND(MAX(0,$C$26+$D$26-$E$26-$F$26),2)</f>
        <v>0.0</v>
      </c>
      <c r="H26" s="13">
        <f>$L$25</f>
        <v>306.27</v>
      </c>
      <c r="I26" s="13">
        <f>ROUND(IF($H$26&lt;=0,0,$H$26*CreditUnionVisaAPR/12),2)</f>
        <v>6.38</v>
      </c>
      <c r="J26" s="13">
        <f>ROUND(IF($H$26&lt;=0,0,MIN(CreditUnionVisaMinPayment,$H$26+$I$26)),2)</f>
        <v>192.0</v>
      </c>
      <c r="K26" s="13">
        <f>ROUND(IF($H$26&lt;=0,0,MIN(MAX(0,$H$26+$I$26-$J$26),MAX(0,$AD$26-$F$26))),2)</f>
        <v>120.65</v>
      </c>
      <c r="L26" s="13">
        <f>ROUND(MAX(0,$H$26+$I$26-$J$26-$K$26),2)</f>
        <v>0.0</v>
      </c>
      <c r="M26" s="13">
        <f>$Q$25</f>
        <v>3148.18</v>
      </c>
      <c r="N26" s="13">
        <f>ROUND(IF($M$26&lt;=0,0,$M$26*PersonalLoanAPR/12),2)</f>
        <v>32.77</v>
      </c>
      <c r="O26" s="13">
        <f>ROUND(IF($M$26&lt;=0,0,MIN(PersonalLoanMinPayment,$M$26+$N$26)),2)</f>
        <v>174.0</v>
      </c>
      <c r="P26" s="13">
        <f>ROUND(IF($M$26&lt;=0,0,MIN(MAX(0,$M$26+$N$26-$O$26),MAX(0,$AD$26-$F$26-$K$26))),2)</f>
        <v>156.35</v>
      </c>
      <c r="Q26" s="13">
        <f>ROUND(MAX(0,$M$26+$N$26-$O$26-$P$26),2)</f>
        <v>2850.6</v>
      </c>
      <c r="R26" s="13">
        <f>$V$25</f>
        <v>6124.88</v>
      </c>
      <c r="S26" s="13">
        <f>ROUND(IF($R$26&lt;=0,0,$R$26*UsedAutoLoanAPR/12),2)</f>
        <v>31.85</v>
      </c>
      <c r="T26" s="13">
        <f>ROUND(IF($R$26&lt;=0,0,MIN(UsedAutoLoanMinPayment,$R$26+$S$26)),2)</f>
        <v>212.0</v>
      </c>
      <c r="U26" s="13">
        <f>ROUND(IF($R$26&lt;=0,0,MIN(MAX(0,$R$26+$S$26-$T$26),MAX(0,$AD$26-$F$26-$K$26-$P$26))),2)</f>
        <v>0.0</v>
      </c>
      <c r="V26" s="13">
        <f>ROUND(MAX(0,$R$26+$S$26-$T$26-$U$26),2)</f>
        <v>5944.73</v>
      </c>
      <c r="W26" s="13">
        <f>$AA$25</f>
        <v>155.0</v>
      </c>
      <c r="X26" s="13">
        <f>ROUND(IF($W$26&lt;=0,0,$W$26*MedicalPlanAPR/12),2)</f>
        <v>0.0</v>
      </c>
      <c r="Y26" s="13">
        <f>ROUND(IF($W$26&lt;=0,0,MIN(MedicalPlanMinPayment,$W$26+$X$26)),2)</f>
        <v>45.0</v>
      </c>
      <c r="Z26" s="13">
        <f>ROUND(IF($W$26&lt;=0,0,MIN(MAX(0,$W$26+$X$26-$Y$26),MAX(0,$AD$26-$F$26-$K$26-$P$26-$U$26))),2)</f>
        <v>0.0</v>
      </c>
      <c r="AA26" s="13">
        <f>ROUND(MAX(0,$W$26+$X$26-$Y$26-$Z$26),2)</f>
        <v>110.0</v>
      </c>
      <c r="AB26" s="13">
        <f>ROUND(LateWindfallBaseExtra+LateWindfallPermanentLift+IF(A26&lt;=LateWindfallTempMonths,LateWindfallTempBoost,0),2)</f>
        <v>190.0</v>
      </c>
      <c r="AC26" s="13">
        <f>IF(A26=LateWindfallWindfallMonth,LateWindfallWindfall,0)</f>
        <v>0.0</v>
      </c>
      <c r="AD26" s="13">
        <f>ROUND($AB$26+$AC$26+IF($G$25&lt;=0,StoreCardMinPayment,0)+IF($L$25&lt;=0,CreditUnionVisaMinPayment,0)+IF($Q$25&lt;=0,PersonalLoanMinPayment,0)+IF($V$25&lt;=0,UsedAutoLoanMinPayment,0)+IF($AA$25&lt;=0,MedicalPlanMinPayment,0),2)</f>
        <v>277.0</v>
      </c>
      <c r="AE26" s="18" t="str">
        <f>IF($F$26&gt;0,Inputs!A6,IF($K$26&gt;0,Inputs!A7,IF($P$26&gt;0,Inputs!A8,IF($U$26&gt;0,Inputs!A9,IF($Z$26&gt;0,Inputs!A5,"")))))</f>
        <v>Credit Union Visa</v>
      </c>
      <c r="AF26" s="13">
        <f>ROUND(SUM($D$26,$I$26,$N$26,$S$26,$X$26),2)</f>
        <v>71.0</v>
      </c>
      <c r="AG26" s="13">
        <f>ROUND(SUM($G$26,$L$26,$Q$26,$V$26,$AA$26),2)</f>
        <v>8905.33</v>
      </c>
    </row>
    <row r="27" spans="1:33">
      <c r="A27" s="17">
        <f>ROW()-3</f>
        <v>23</v>
      </c>
      <c r="B27" s="18" t="str">
        <f>TEXT(EDATE(StartDate,A27-1),"mmm yyyy")</f>
        <v>Feb 2028</v>
      </c>
      <c r="C27" s="13">
        <f>$G$26</f>
        <v>0.0</v>
      </c>
      <c r="D27" s="13">
        <f>ROUND(IF($C$27&lt;=0,0,$C$27*StoreCardAPR/12),2)</f>
        <v>0.0</v>
      </c>
      <c r="E27" s="13">
        <f>ROUND(IF($C$27&lt;=0,0,MIN(StoreCardMinPayment,$C$27+$D$27)),2)</f>
        <v>0.0</v>
      </c>
      <c r="F27" s="13">
        <f>ROUND(IF($C$27&lt;=0,0,MIN(MAX(0,$C$27+$D$27-$E$27),MAX(0,$AD$27))),2)</f>
        <v>0.0</v>
      </c>
      <c r="G27" s="13">
        <f>ROUND(MAX(0,$C$27+$D$27-$E$27-$F$27),2)</f>
        <v>0.0</v>
      </c>
      <c r="H27" s="13">
        <f>$L$26</f>
        <v>0.0</v>
      </c>
      <c r="I27" s="13">
        <f>ROUND(IF($H$27&lt;=0,0,$H$27*CreditUnionVisaAPR/12),2)</f>
        <v>0.0</v>
      </c>
      <c r="J27" s="13">
        <f>ROUND(IF($H$27&lt;=0,0,MIN(CreditUnionVisaMinPayment,$H$27+$I$27)),2)</f>
        <v>0.0</v>
      </c>
      <c r="K27" s="13">
        <f>ROUND(IF($H$27&lt;=0,0,MIN(MAX(0,$H$27+$I$27-$J$27),MAX(0,$AD$27-$F$27))),2)</f>
        <v>0.0</v>
      </c>
      <c r="L27" s="13">
        <f>ROUND(MAX(0,$H$27+$I$27-$J$27-$K$27),2)</f>
        <v>0.0</v>
      </c>
      <c r="M27" s="13">
        <f>$Q$26</f>
        <v>2850.6</v>
      </c>
      <c r="N27" s="13">
        <f>ROUND(IF($M$27&lt;=0,0,$M$27*PersonalLoanAPR/12),2)</f>
        <v>29.67</v>
      </c>
      <c r="O27" s="13">
        <f>ROUND(IF($M$27&lt;=0,0,MIN(PersonalLoanMinPayment,$M$27+$N$27)),2)</f>
        <v>174.0</v>
      </c>
      <c r="P27" s="13">
        <f>ROUND(IF($M$27&lt;=0,0,MIN(MAX(0,$M$27+$N$27-$O$27),MAX(0,$AD$27-$F$27-$K$27))),2)</f>
        <v>469.0</v>
      </c>
      <c r="Q27" s="13">
        <f>ROUND(MAX(0,$M$27+$N$27-$O$27-$P$27),2)</f>
        <v>2237.27</v>
      </c>
      <c r="R27" s="13">
        <f>$V$26</f>
        <v>5944.73</v>
      </c>
      <c r="S27" s="13">
        <f>ROUND(IF($R$27&lt;=0,0,$R$27*UsedAutoLoanAPR/12),2)</f>
        <v>30.91</v>
      </c>
      <c r="T27" s="13">
        <f>ROUND(IF($R$27&lt;=0,0,MIN(UsedAutoLoanMinPayment,$R$27+$S$27)),2)</f>
        <v>212.0</v>
      </c>
      <c r="U27" s="13">
        <f>ROUND(IF($R$27&lt;=0,0,MIN(MAX(0,$R$27+$S$27-$T$27),MAX(0,$AD$27-$F$27-$K$27-$P$27))),2)</f>
        <v>0.0</v>
      </c>
      <c r="V27" s="13">
        <f>ROUND(MAX(0,$R$27+$S$27-$T$27-$U$27),2)</f>
        <v>5763.64</v>
      </c>
      <c r="W27" s="13">
        <f>$AA$26</f>
        <v>110.0</v>
      </c>
      <c r="X27" s="13">
        <f>ROUND(IF($W$27&lt;=0,0,$W$27*MedicalPlanAPR/12),2)</f>
        <v>0.0</v>
      </c>
      <c r="Y27" s="13">
        <f>ROUND(IF($W$27&lt;=0,0,MIN(MedicalPlanMinPayment,$W$27+$X$27)),2)</f>
        <v>45.0</v>
      </c>
      <c r="Z27" s="13">
        <f>ROUND(IF($W$27&lt;=0,0,MIN(MAX(0,$W$27+$X$27-$Y$27),MAX(0,$AD$27-$F$27-$K$27-$P$27-$U$27))),2)</f>
        <v>0.0</v>
      </c>
      <c r="AA27" s="13">
        <f>ROUND(MAX(0,$W$27+$X$27-$Y$27-$Z$27),2)</f>
        <v>65.0</v>
      </c>
      <c r="AB27" s="13">
        <f>ROUND(LateWindfallBaseExtra+LateWindfallPermanentLift+IF(A27&lt;=LateWindfallTempMonths,LateWindfallTempBoost,0),2)</f>
        <v>190.0</v>
      </c>
      <c r="AC27" s="13">
        <f>IF(A27=LateWindfallWindfallMonth,LateWindfallWindfall,0)</f>
        <v>0.0</v>
      </c>
      <c r="AD27" s="13">
        <f>ROUND($AB$27+$AC$27+IF($G$26&lt;=0,StoreCardMinPayment,0)+IF($L$26&lt;=0,CreditUnionVisaMinPayment,0)+IF($Q$26&lt;=0,PersonalLoanMinPayment,0)+IF($V$26&lt;=0,UsedAutoLoanMinPayment,0)+IF($AA$26&lt;=0,MedicalPlanMinPayment,0),2)</f>
        <v>469.0</v>
      </c>
      <c r="AE27" s="18" t="str">
        <f>IF($F$27&gt;0,Inputs!A6,IF($K$27&gt;0,Inputs!A7,IF($P$27&gt;0,Inputs!A8,IF($U$27&gt;0,Inputs!A9,IF($Z$27&gt;0,Inputs!A5,"")))))</f>
        <v>Personal Loan</v>
      </c>
      <c r="AF27" s="13">
        <f>ROUND(SUM($D$27,$I$27,$N$27,$S$27,$X$27),2)</f>
        <v>60.58</v>
      </c>
      <c r="AG27" s="13">
        <f>ROUND(SUM($G$27,$L$27,$Q$27,$V$27,$AA$27),2)</f>
        <v>8065.91</v>
      </c>
    </row>
    <row r="28" spans="1:33">
      <c r="A28" s="17">
        <f>ROW()-3</f>
        <v>24</v>
      </c>
      <c r="B28" s="18" t="str">
        <f>TEXT(EDATE(StartDate,A28-1),"mmm yyyy")</f>
        <v>Mar 2028</v>
      </c>
      <c r="C28" s="13">
        <f>$G$27</f>
        <v>0.0</v>
      </c>
      <c r="D28" s="13">
        <f>ROUND(IF($C$28&lt;=0,0,$C$28*StoreCardAPR/12),2)</f>
        <v>0.0</v>
      </c>
      <c r="E28" s="13">
        <f>ROUND(IF($C$28&lt;=0,0,MIN(StoreCardMinPayment,$C$28+$D$28)),2)</f>
        <v>0.0</v>
      </c>
      <c r="F28" s="13">
        <f>ROUND(IF($C$28&lt;=0,0,MIN(MAX(0,$C$28+$D$28-$E$28),MAX(0,$AD$28))),2)</f>
        <v>0.0</v>
      </c>
      <c r="G28" s="13">
        <f>ROUND(MAX(0,$C$28+$D$28-$E$28-$F$28),2)</f>
        <v>0.0</v>
      </c>
      <c r="H28" s="13">
        <f>$L$27</f>
        <v>0.0</v>
      </c>
      <c r="I28" s="13">
        <f>ROUND(IF($H$28&lt;=0,0,$H$28*CreditUnionVisaAPR/12),2)</f>
        <v>0.0</v>
      </c>
      <c r="J28" s="13">
        <f>ROUND(IF($H$28&lt;=0,0,MIN(CreditUnionVisaMinPayment,$H$28+$I$28)),2)</f>
        <v>0.0</v>
      </c>
      <c r="K28" s="13">
        <f>ROUND(IF($H$28&lt;=0,0,MIN(MAX(0,$H$28+$I$28-$J$28),MAX(0,$AD$28-$F$28))),2)</f>
        <v>0.0</v>
      </c>
      <c r="L28" s="13">
        <f>ROUND(MAX(0,$H$28+$I$28-$J$28-$K$28),2)</f>
        <v>0.0</v>
      </c>
      <c r="M28" s="13">
        <f>$Q$27</f>
        <v>2237.27</v>
      </c>
      <c r="N28" s="13">
        <f>ROUND(IF($M$28&lt;=0,0,$M$28*PersonalLoanAPR/12),2)</f>
        <v>23.29</v>
      </c>
      <c r="O28" s="13">
        <f>ROUND(IF($M$28&lt;=0,0,MIN(PersonalLoanMinPayment,$M$28+$N$28)),2)</f>
        <v>174.0</v>
      </c>
      <c r="P28" s="13">
        <f>ROUND(IF($M$28&lt;=0,0,MIN(MAX(0,$M$28+$N$28-$O$28),MAX(0,$AD$28-$F$28-$K$28))),2)</f>
        <v>469.0</v>
      </c>
      <c r="Q28" s="13">
        <f>ROUND(MAX(0,$M$28+$N$28-$O$28-$P$28),2)</f>
        <v>1617.56</v>
      </c>
      <c r="R28" s="13">
        <f>$V$27</f>
        <v>5763.64</v>
      </c>
      <c r="S28" s="13">
        <f>ROUND(IF($R$28&lt;=0,0,$R$28*UsedAutoLoanAPR/12),2)</f>
        <v>29.97</v>
      </c>
      <c r="T28" s="13">
        <f>ROUND(IF($R$28&lt;=0,0,MIN(UsedAutoLoanMinPayment,$R$28+$S$28)),2)</f>
        <v>212.0</v>
      </c>
      <c r="U28" s="13">
        <f>ROUND(IF($R$28&lt;=0,0,MIN(MAX(0,$R$28+$S$28-$T$28),MAX(0,$AD$28-$F$28-$K$28-$P$28))),2)</f>
        <v>0.0</v>
      </c>
      <c r="V28" s="13">
        <f>ROUND(MAX(0,$R$28+$S$28-$T$28-$U$28),2)</f>
        <v>5581.61</v>
      </c>
      <c r="W28" s="13">
        <f>$AA$27</f>
        <v>65.0</v>
      </c>
      <c r="X28" s="13">
        <f>ROUND(IF($W$28&lt;=0,0,$W$28*MedicalPlanAPR/12),2)</f>
        <v>0.0</v>
      </c>
      <c r="Y28" s="13">
        <f>ROUND(IF($W$28&lt;=0,0,MIN(MedicalPlanMinPayment,$W$28+$X$28)),2)</f>
        <v>45.0</v>
      </c>
      <c r="Z28" s="13">
        <f>ROUND(IF($W$28&lt;=0,0,MIN(MAX(0,$W$28+$X$28-$Y$28),MAX(0,$AD$28-$F$28-$K$28-$P$28-$U$28))),2)</f>
        <v>0.0</v>
      </c>
      <c r="AA28" s="13">
        <f>ROUND(MAX(0,$W$28+$X$28-$Y$28-$Z$28),2)</f>
        <v>20.0</v>
      </c>
      <c r="AB28" s="13">
        <f>ROUND(LateWindfallBaseExtra+LateWindfallPermanentLift+IF(A28&lt;=LateWindfallTempMonths,LateWindfallTempBoost,0),2)</f>
        <v>190.0</v>
      </c>
      <c r="AC28" s="13">
        <f>IF(A28=LateWindfallWindfallMonth,LateWindfallWindfall,0)</f>
        <v>0.0</v>
      </c>
      <c r="AD28" s="13">
        <f>ROUND($AB$28+$AC$28+IF($G$27&lt;=0,StoreCardMinPayment,0)+IF($L$27&lt;=0,CreditUnionVisaMinPayment,0)+IF($Q$27&lt;=0,PersonalLoanMinPayment,0)+IF($V$27&lt;=0,UsedAutoLoanMinPayment,0)+IF($AA$27&lt;=0,MedicalPlanMinPayment,0),2)</f>
        <v>469.0</v>
      </c>
      <c r="AE28" s="18" t="str">
        <f>IF($F$28&gt;0,Inputs!A6,IF($K$28&gt;0,Inputs!A7,IF($P$28&gt;0,Inputs!A8,IF($U$28&gt;0,Inputs!A9,IF($Z$28&gt;0,Inputs!A5,"")))))</f>
        <v>Personal Loan</v>
      </c>
      <c r="AF28" s="13">
        <f>ROUND(SUM($D$28,$I$28,$N$28,$S$28,$X$28),2)</f>
        <v>53.26</v>
      </c>
      <c r="AG28" s="13">
        <f>ROUND(SUM($G$28,$L$28,$Q$28,$V$28,$AA$28),2)</f>
        <v>7219.17</v>
      </c>
    </row>
    <row r="29" spans="1:33">
      <c r="A29" s="17">
        <f>ROW()-3</f>
        <v>25</v>
      </c>
      <c r="B29" s="18" t="str">
        <f>TEXT(EDATE(StartDate,A29-1),"mmm yyyy")</f>
        <v>Apr 2028</v>
      </c>
      <c r="C29" s="13">
        <f>$G$28</f>
        <v>0.0</v>
      </c>
      <c r="D29" s="13">
        <f>ROUND(IF($C$29&lt;=0,0,$C$29*StoreCardAPR/12),2)</f>
        <v>0.0</v>
      </c>
      <c r="E29" s="13">
        <f>ROUND(IF($C$29&lt;=0,0,MIN(StoreCardMinPayment,$C$29+$D$29)),2)</f>
        <v>0.0</v>
      </c>
      <c r="F29" s="13">
        <f>ROUND(IF($C$29&lt;=0,0,MIN(MAX(0,$C$29+$D$29-$E$29),MAX(0,$AD$29))),2)</f>
        <v>0.0</v>
      </c>
      <c r="G29" s="13">
        <f>ROUND(MAX(0,$C$29+$D$29-$E$29-$F$29),2)</f>
        <v>0.0</v>
      </c>
      <c r="H29" s="13">
        <f>$L$28</f>
        <v>0.0</v>
      </c>
      <c r="I29" s="13">
        <f>ROUND(IF($H$29&lt;=0,0,$H$29*CreditUnionVisaAPR/12),2)</f>
        <v>0.0</v>
      </c>
      <c r="J29" s="13">
        <f>ROUND(IF($H$29&lt;=0,0,MIN(CreditUnionVisaMinPayment,$H$29+$I$29)),2)</f>
        <v>0.0</v>
      </c>
      <c r="K29" s="13">
        <f>ROUND(IF($H$29&lt;=0,0,MIN(MAX(0,$H$29+$I$29-$J$29),MAX(0,$AD$29-$F$29))),2)</f>
        <v>0.0</v>
      </c>
      <c r="L29" s="13">
        <f>ROUND(MAX(0,$H$29+$I$29-$J$29-$K$29),2)</f>
        <v>0.0</v>
      </c>
      <c r="M29" s="13">
        <f>$Q$28</f>
        <v>1617.56</v>
      </c>
      <c r="N29" s="13">
        <f>ROUND(IF($M$29&lt;=0,0,$M$29*PersonalLoanAPR/12),2)</f>
        <v>16.84</v>
      </c>
      <c r="O29" s="13">
        <f>ROUND(IF($M$29&lt;=0,0,MIN(PersonalLoanMinPayment,$M$29+$N$29)),2)</f>
        <v>174.0</v>
      </c>
      <c r="P29" s="13">
        <f>ROUND(IF($M$29&lt;=0,0,MIN(MAX(0,$M$29+$N$29-$O$29),MAX(0,$AD$29-$F$29-$K$29))),2)</f>
        <v>469.0</v>
      </c>
      <c r="Q29" s="13">
        <f>ROUND(MAX(0,$M$29+$N$29-$O$29-$P$29),2)</f>
        <v>991.4</v>
      </c>
      <c r="R29" s="13">
        <f>$V$28</f>
        <v>5581.61</v>
      </c>
      <c r="S29" s="13">
        <f>ROUND(IF($R$29&lt;=0,0,$R$29*UsedAutoLoanAPR/12),2)</f>
        <v>29.02</v>
      </c>
      <c r="T29" s="13">
        <f>ROUND(IF($R$29&lt;=0,0,MIN(UsedAutoLoanMinPayment,$R$29+$S$29)),2)</f>
        <v>212.0</v>
      </c>
      <c r="U29" s="13">
        <f>ROUND(IF($R$29&lt;=0,0,MIN(MAX(0,$R$29+$S$29-$T$29),MAX(0,$AD$29-$F$29-$K$29-$P$29))),2)</f>
        <v>0.0</v>
      </c>
      <c r="V29" s="13">
        <f>ROUND(MAX(0,$R$29+$S$29-$T$29-$U$29),2)</f>
        <v>5398.63</v>
      </c>
      <c r="W29" s="13">
        <f>$AA$28</f>
        <v>20.0</v>
      </c>
      <c r="X29" s="13">
        <f>ROUND(IF($W$29&lt;=0,0,$W$29*MedicalPlanAPR/12),2)</f>
        <v>0.0</v>
      </c>
      <c r="Y29" s="13">
        <f>ROUND(IF($W$29&lt;=0,0,MIN(MedicalPlanMinPayment,$W$29+$X$29)),2)</f>
        <v>20.0</v>
      </c>
      <c r="Z29" s="13">
        <f>ROUND(IF($W$29&lt;=0,0,MIN(MAX(0,$W$29+$X$29-$Y$29),MAX(0,$AD$29-$F$29-$K$29-$P$29-$U$29))),2)</f>
        <v>0.0</v>
      </c>
      <c r="AA29" s="13">
        <f>ROUND(MAX(0,$W$29+$X$29-$Y$29-$Z$29),2)</f>
        <v>0.0</v>
      </c>
      <c r="AB29" s="13">
        <f>ROUND(LateWindfallBaseExtra+LateWindfallPermanentLift+IF(A29&lt;=LateWindfallTempMonths,LateWindfallTempBoost,0),2)</f>
        <v>190.0</v>
      </c>
      <c r="AC29" s="13">
        <f>IF(A29=LateWindfallWindfallMonth,LateWindfallWindfall,0)</f>
        <v>0.0</v>
      </c>
      <c r="AD29" s="13">
        <f>ROUND($AB$29+$AC$29+IF($G$28&lt;=0,StoreCardMinPayment,0)+IF($L$28&lt;=0,CreditUnionVisaMinPayment,0)+IF($Q$28&lt;=0,PersonalLoanMinPayment,0)+IF($V$28&lt;=0,UsedAutoLoanMinPayment,0)+IF($AA$28&lt;=0,MedicalPlanMinPayment,0),2)</f>
        <v>469.0</v>
      </c>
      <c r="AE29" s="18" t="str">
        <f>IF($F$29&gt;0,Inputs!A6,IF($K$29&gt;0,Inputs!A7,IF($P$29&gt;0,Inputs!A8,IF($U$29&gt;0,Inputs!A9,IF($Z$29&gt;0,Inputs!A5,"")))))</f>
        <v>Personal Loan</v>
      </c>
      <c r="AF29" s="13">
        <f>ROUND(SUM($D$29,$I$29,$N$29,$S$29,$X$29),2)</f>
        <v>45.86</v>
      </c>
      <c r="AG29" s="13">
        <f>ROUND(SUM($G$29,$L$29,$Q$29,$V$29,$AA$29),2)</f>
        <v>6390.03</v>
      </c>
    </row>
    <row r="30" spans="1:33">
      <c r="A30" s="17">
        <f>ROW()-3</f>
        <v>26</v>
      </c>
      <c r="B30" s="18" t="str">
        <f>TEXT(EDATE(StartDate,A30-1),"mmm yyyy")</f>
        <v>May 2028</v>
      </c>
      <c r="C30" s="13">
        <f>$G$29</f>
        <v>0.0</v>
      </c>
      <c r="D30" s="13">
        <f>ROUND(IF($C$30&lt;=0,0,$C$30*StoreCardAPR/12),2)</f>
        <v>0.0</v>
      </c>
      <c r="E30" s="13">
        <f>ROUND(IF($C$30&lt;=0,0,MIN(StoreCardMinPayment,$C$30+$D$30)),2)</f>
        <v>0.0</v>
      </c>
      <c r="F30" s="13">
        <f>ROUND(IF($C$30&lt;=0,0,MIN(MAX(0,$C$30+$D$30-$E$30),MAX(0,$AD$30))),2)</f>
        <v>0.0</v>
      </c>
      <c r="G30" s="13">
        <f>ROUND(MAX(0,$C$30+$D$30-$E$30-$F$30),2)</f>
        <v>0.0</v>
      </c>
      <c r="H30" s="13">
        <f>$L$29</f>
        <v>0.0</v>
      </c>
      <c r="I30" s="13">
        <f>ROUND(IF($H$30&lt;=0,0,$H$30*CreditUnionVisaAPR/12),2)</f>
        <v>0.0</v>
      </c>
      <c r="J30" s="13">
        <f>ROUND(IF($H$30&lt;=0,0,MIN(CreditUnionVisaMinPayment,$H$30+$I$30)),2)</f>
        <v>0.0</v>
      </c>
      <c r="K30" s="13">
        <f>ROUND(IF($H$30&lt;=0,0,MIN(MAX(0,$H$30+$I$30-$J$30),MAX(0,$AD$30-$F$30))),2)</f>
        <v>0.0</v>
      </c>
      <c r="L30" s="13">
        <f>ROUND(MAX(0,$H$30+$I$30-$J$30-$K$30),2)</f>
        <v>0.0</v>
      </c>
      <c r="M30" s="13">
        <f>$Q$29</f>
        <v>991.4</v>
      </c>
      <c r="N30" s="13">
        <f>ROUND(IF($M$30&lt;=0,0,$M$30*PersonalLoanAPR/12),2)</f>
        <v>10.32</v>
      </c>
      <c r="O30" s="13">
        <f>ROUND(IF($M$30&lt;=0,0,MIN(PersonalLoanMinPayment,$M$30+$N$30)),2)</f>
        <v>174.0</v>
      </c>
      <c r="P30" s="13">
        <f>ROUND(IF($M$30&lt;=0,0,MIN(MAX(0,$M$30+$N$30-$O$30),MAX(0,$AD$30-$F$30-$K$30))),2)</f>
        <v>514.0</v>
      </c>
      <c r="Q30" s="13">
        <f>ROUND(MAX(0,$M$30+$N$30-$O$30-$P$30),2)</f>
        <v>313.72</v>
      </c>
      <c r="R30" s="13">
        <f>$V$29</f>
        <v>5398.63</v>
      </c>
      <c r="S30" s="13">
        <f>ROUND(IF($R$30&lt;=0,0,$R$30*UsedAutoLoanAPR/12),2)</f>
        <v>28.07</v>
      </c>
      <c r="T30" s="13">
        <f>ROUND(IF($R$30&lt;=0,0,MIN(UsedAutoLoanMinPayment,$R$30+$S$30)),2)</f>
        <v>212.0</v>
      </c>
      <c r="U30" s="13">
        <f>ROUND(IF($R$30&lt;=0,0,MIN(MAX(0,$R$30+$S$30-$T$30),MAX(0,$AD$30-$F$30-$K$30-$P$30))),2)</f>
        <v>0.0</v>
      </c>
      <c r="V30" s="13">
        <f>ROUND(MAX(0,$R$30+$S$30-$T$30-$U$30),2)</f>
        <v>5214.7</v>
      </c>
      <c r="W30" s="13">
        <f>$AA$29</f>
        <v>0.0</v>
      </c>
      <c r="X30" s="13">
        <f>ROUND(IF($W$30&lt;=0,0,$W$30*MedicalPlanAPR/12),2)</f>
        <v>0.0</v>
      </c>
      <c r="Y30" s="13">
        <f>ROUND(IF($W$30&lt;=0,0,MIN(MedicalPlanMinPayment,$W$30+$X$30)),2)</f>
        <v>0.0</v>
      </c>
      <c r="Z30" s="13">
        <f>ROUND(IF($W$30&lt;=0,0,MIN(MAX(0,$W$30+$X$30-$Y$30),MAX(0,$AD$30-$F$30-$K$30-$P$30-$U$30))),2)</f>
        <v>0.0</v>
      </c>
      <c r="AA30" s="13">
        <f>ROUND(MAX(0,$W$30+$X$30-$Y$30-$Z$30),2)</f>
        <v>0.0</v>
      </c>
      <c r="AB30" s="13">
        <f>ROUND(LateWindfallBaseExtra+LateWindfallPermanentLift+IF(A30&lt;=LateWindfallTempMonths,LateWindfallTempBoost,0),2)</f>
        <v>190.0</v>
      </c>
      <c r="AC30" s="13">
        <f>IF(A30=LateWindfallWindfallMonth,LateWindfallWindfall,0)</f>
        <v>0.0</v>
      </c>
      <c r="AD30" s="13">
        <f>ROUND($AB$30+$AC$30+IF($G$29&lt;=0,StoreCardMinPayment,0)+IF($L$29&lt;=0,CreditUnionVisaMinPayment,0)+IF($Q$29&lt;=0,PersonalLoanMinPayment,0)+IF($V$29&lt;=0,UsedAutoLoanMinPayment,0)+IF($AA$29&lt;=0,MedicalPlanMinPayment,0),2)</f>
        <v>514.0</v>
      </c>
      <c r="AE30" s="18" t="str">
        <f>IF($F$30&gt;0,Inputs!A6,IF($K$30&gt;0,Inputs!A7,IF($P$30&gt;0,Inputs!A8,IF($U$30&gt;0,Inputs!A9,IF($Z$30&gt;0,Inputs!A5,"")))))</f>
        <v>Personal Loan</v>
      </c>
      <c r="AF30" s="13">
        <f>ROUND(SUM($D$30,$I$30,$N$30,$S$30,$X$30),2)</f>
        <v>38.39</v>
      </c>
      <c r="AG30" s="13">
        <f>ROUND(SUM($G$30,$L$30,$Q$30,$V$30,$AA$30),2)</f>
        <v>5528.42</v>
      </c>
    </row>
    <row r="31" spans="1:33">
      <c r="A31" s="17">
        <f>ROW()-3</f>
        <v>27</v>
      </c>
      <c r="B31" s="18" t="str">
        <f>TEXT(EDATE(StartDate,A31-1),"mmm yyyy")</f>
        <v>Jun 2028</v>
      </c>
      <c r="C31" s="13">
        <f>$G$30</f>
        <v>0.0</v>
      </c>
      <c r="D31" s="13">
        <f>ROUND(IF($C$31&lt;=0,0,$C$31*StoreCardAPR/12),2)</f>
        <v>0.0</v>
      </c>
      <c r="E31" s="13">
        <f>ROUND(IF($C$31&lt;=0,0,MIN(StoreCardMinPayment,$C$31+$D$31)),2)</f>
        <v>0.0</v>
      </c>
      <c r="F31" s="13">
        <f>ROUND(IF($C$31&lt;=0,0,MIN(MAX(0,$C$31+$D$31-$E$31),MAX(0,$AD$31))),2)</f>
        <v>0.0</v>
      </c>
      <c r="G31" s="13">
        <f>ROUND(MAX(0,$C$31+$D$31-$E$31-$F$31),2)</f>
        <v>0.0</v>
      </c>
      <c r="H31" s="13">
        <f>$L$30</f>
        <v>0.0</v>
      </c>
      <c r="I31" s="13">
        <f>ROUND(IF($H$31&lt;=0,0,$H$31*CreditUnionVisaAPR/12),2)</f>
        <v>0.0</v>
      </c>
      <c r="J31" s="13">
        <f>ROUND(IF($H$31&lt;=0,0,MIN(CreditUnionVisaMinPayment,$H$31+$I$31)),2)</f>
        <v>0.0</v>
      </c>
      <c r="K31" s="13">
        <f>ROUND(IF($H$31&lt;=0,0,MIN(MAX(0,$H$31+$I$31-$J$31),MAX(0,$AD$31-$F$31))),2)</f>
        <v>0.0</v>
      </c>
      <c r="L31" s="13">
        <f>ROUND(MAX(0,$H$31+$I$31-$J$31-$K$31),2)</f>
        <v>0.0</v>
      </c>
      <c r="M31" s="13">
        <f>$Q$30</f>
        <v>313.72</v>
      </c>
      <c r="N31" s="13">
        <f>ROUND(IF($M$31&lt;=0,0,$M$31*PersonalLoanAPR/12),2)</f>
        <v>3.27</v>
      </c>
      <c r="O31" s="13">
        <f>ROUND(IF($M$31&lt;=0,0,MIN(PersonalLoanMinPayment,$M$31+$N$31)),2)</f>
        <v>174.0</v>
      </c>
      <c r="P31" s="13">
        <f>ROUND(IF($M$31&lt;=0,0,MIN(MAX(0,$M$31+$N$31-$O$31),MAX(0,$AD$31-$F$31-$K$31))),2)</f>
        <v>142.99</v>
      </c>
      <c r="Q31" s="13">
        <f>ROUND(MAX(0,$M$31+$N$31-$O$31-$P$31),2)</f>
        <v>0.0</v>
      </c>
      <c r="R31" s="13">
        <f>$V$30</f>
        <v>5214.7</v>
      </c>
      <c r="S31" s="13">
        <f>ROUND(IF($R$31&lt;=0,0,$R$31*UsedAutoLoanAPR/12),2)</f>
        <v>27.12</v>
      </c>
      <c r="T31" s="13">
        <f>ROUND(IF($R$31&lt;=0,0,MIN(UsedAutoLoanMinPayment,$R$31+$S$31)),2)</f>
        <v>212.0</v>
      </c>
      <c r="U31" s="13">
        <f>ROUND(IF($R$31&lt;=0,0,MIN(MAX(0,$R$31+$S$31-$T$31),MAX(0,$AD$31-$F$31-$K$31-$P$31))),2)</f>
        <v>371.01</v>
      </c>
      <c r="V31" s="13">
        <f>ROUND(MAX(0,$R$31+$S$31-$T$31-$U$31),2)</f>
        <v>4658.81</v>
      </c>
      <c r="W31" s="13">
        <f>$AA$30</f>
        <v>0.0</v>
      </c>
      <c r="X31" s="13">
        <f>ROUND(IF($W$31&lt;=0,0,$W$31*MedicalPlanAPR/12),2)</f>
        <v>0.0</v>
      </c>
      <c r="Y31" s="13">
        <f>ROUND(IF($W$31&lt;=0,0,MIN(MedicalPlanMinPayment,$W$31+$X$31)),2)</f>
        <v>0.0</v>
      </c>
      <c r="Z31" s="13">
        <f>ROUND(IF($W$31&lt;=0,0,MIN(MAX(0,$W$31+$X$31-$Y$31),MAX(0,$AD$31-$F$31-$K$31-$P$31-$U$31))),2)</f>
        <v>0.0</v>
      </c>
      <c r="AA31" s="13">
        <f>ROUND(MAX(0,$W$31+$X$31-$Y$31-$Z$31),2)</f>
        <v>0.0</v>
      </c>
      <c r="AB31" s="13">
        <f>ROUND(LateWindfallBaseExtra+LateWindfallPermanentLift+IF(A31&lt;=LateWindfallTempMonths,LateWindfallTempBoost,0),2)</f>
        <v>190.0</v>
      </c>
      <c r="AC31" s="13">
        <f>IF(A31=LateWindfallWindfallMonth,LateWindfallWindfall,0)</f>
        <v>0.0</v>
      </c>
      <c r="AD31" s="13">
        <f>ROUND($AB$31+$AC$31+IF($G$30&lt;=0,StoreCardMinPayment,0)+IF($L$30&lt;=0,CreditUnionVisaMinPayment,0)+IF($Q$30&lt;=0,PersonalLoanMinPayment,0)+IF($V$30&lt;=0,UsedAutoLoanMinPayment,0)+IF($AA$30&lt;=0,MedicalPlanMinPayment,0),2)</f>
        <v>514.0</v>
      </c>
      <c r="AE31" s="18" t="str">
        <f>IF($F$31&gt;0,Inputs!A6,IF($K$31&gt;0,Inputs!A7,IF($P$31&gt;0,Inputs!A8,IF($U$31&gt;0,Inputs!A9,IF($Z$31&gt;0,Inputs!A5,"")))))</f>
        <v>Personal Loan</v>
      </c>
      <c r="AF31" s="13">
        <f>ROUND(SUM($D$31,$I$31,$N$31,$S$31,$X$31),2)</f>
        <v>30.39</v>
      </c>
      <c r="AG31" s="13">
        <f>ROUND(SUM($G$31,$L$31,$Q$31,$V$31,$AA$31),2)</f>
        <v>4658.81</v>
      </c>
    </row>
    <row r="32" spans="1:33">
      <c r="A32" s="17">
        <f>ROW()-3</f>
        <v>28</v>
      </c>
      <c r="B32" s="18" t="str">
        <f>TEXT(EDATE(StartDate,A32-1),"mmm yyyy")</f>
        <v>Jul 2028</v>
      </c>
      <c r="C32" s="13">
        <f>$G$31</f>
        <v>0.0</v>
      </c>
      <c r="D32" s="13">
        <f>ROUND(IF($C$32&lt;=0,0,$C$32*StoreCardAPR/12),2)</f>
        <v>0.0</v>
      </c>
      <c r="E32" s="13">
        <f>ROUND(IF($C$32&lt;=0,0,MIN(StoreCardMinPayment,$C$32+$D$32)),2)</f>
        <v>0.0</v>
      </c>
      <c r="F32" s="13">
        <f>ROUND(IF($C$32&lt;=0,0,MIN(MAX(0,$C$32+$D$32-$E$32),MAX(0,$AD$32))),2)</f>
        <v>0.0</v>
      </c>
      <c r="G32" s="13">
        <f>ROUND(MAX(0,$C$32+$D$32-$E$32-$F$32),2)</f>
        <v>0.0</v>
      </c>
      <c r="H32" s="13">
        <f>$L$31</f>
        <v>0.0</v>
      </c>
      <c r="I32" s="13">
        <f>ROUND(IF($H$32&lt;=0,0,$H$32*CreditUnionVisaAPR/12),2)</f>
        <v>0.0</v>
      </c>
      <c r="J32" s="13">
        <f>ROUND(IF($H$32&lt;=0,0,MIN(CreditUnionVisaMinPayment,$H$32+$I$32)),2)</f>
        <v>0.0</v>
      </c>
      <c r="K32" s="13">
        <f>ROUND(IF($H$32&lt;=0,0,MIN(MAX(0,$H$32+$I$32-$J$32),MAX(0,$AD$32-$F$32))),2)</f>
        <v>0.0</v>
      </c>
      <c r="L32" s="13">
        <f>ROUND(MAX(0,$H$32+$I$32-$J$32-$K$32),2)</f>
        <v>0.0</v>
      </c>
      <c r="M32" s="13">
        <f>$Q$31</f>
        <v>0.0</v>
      </c>
      <c r="N32" s="13">
        <f>ROUND(IF($M$32&lt;=0,0,$M$32*PersonalLoanAPR/12),2)</f>
        <v>0.0</v>
      </c>
      <c r="O32" s="13">
        <f>ROUND(IF($M$32&lt;=0,0,MIN(PersonalLoanMinPayment,$M$32+$N$32)),2)</f>
        <v>0.0</v>
      </c>
      <c r="P32" s="13">
        <f>ROUND(IF($M$32&lt;=0,0,MIN(MAX(0,$M$32+$N$32-$O$32),MAX(0,$AD$32-$F$32-$K$32))),2)</f>
        <v>0.0</v>
      </c>
      <c r="Q32" s="13">
        <f>ROUND(MAX(0,$M$32+$N$32-$O$32-$P$32),2)</f>
        <v>0.0</v>
      </c>
      <c r="R32" s="13">
        <f>$V$31</f>
        <v>4658.81</v>
      </c>
      <c r="S32" s="13">
        <f>ROUND(IF($R$32&lt;=0,0,$R$32*UsedAutoLoanAPR/12),2)</f>
        <v>24.23</v>
      </c>
      <c r="T32" s="13">
        <f>ROUND(IF($R$32&lt;=0,0,MIN(UsedAutoLoanMinPayment,$R$32+$S$32)),2)</f>
        <v>212.0</v>
      </c>
      <c r="U32" s="13">
        <f>ROUND(IF($R$32&lt;=0,0,MIN(MAX(0,$R$32+$S$32-$T$32),MAX(0,$AD$32-$F$32-$K$32-$P$32))),2)</f>
        <v>688.0</v>
      </c>
      <c r="V32" s="13">
        <f>ROUND(MAX(0,$R$32+$S$32-$T$32-$U$32),2)</f>
        <v>3783.04</v>
      </c>
      <c r="W32" s="13">
        <f>$AA$31</f>
        <v>0.0</v>
      </c>
      <c r="X32" s="13">
        <f>ROUND(IF($W$32&lt;=0,0,$W$32*MedicalPlanAPR/12),2)</f>
        <v>0.0</v>
      </c>
      <c r="Y32" s="13">
        <f>ROUND(IF($W$32&lt;=0,0,MIN(MedicalPlanMinPayment,$W$32+$X$32)),2)</f>
        <v>0.0</v>
      </c>
      <c r="Z32" s="13">
        <f>ROUND(IF($W$32&lt;=0,0,MIN(MAX(0,$W$32+$X$32-$Y$32),MAX(0,$AD$32-$F$32-$K$32-$P$32-$U$32))),2)</f>
        <v>0.0</v>
      </c>
      <c r="AA32" s="13">
        <f>ROUND(MAX(0,$W$32+$X$32-$Y$32-$Z$32),2)</f>
        <v>0.0</v>
      </c>
      <c r="AB32" s="13">
        <f>ROUND(LateWindfallBaseExtra+LateWindfallPermanentLift+IF(A32&lt;=LateWindfallTempMonths,LateWindfallTempBoost,0),2)</f>
        <v>190.0</v>
      </c>
      <c r="AC32" s="13">
        <f>IF(A32=LateWindfallWindfallMonth,LateWindfallWindfall,0)</f>
        <v>0.0</v>
      </c>
      <c r="AD32" s="13">
        <f>ROUND($AB$32+$AC$32+IF($G$31&lt;=0,StoreCardMinPayment,0)+IF($L$31&lt;=0,CreditUnionVisaMinPayment,0)+IF($Q$31&lt;=0,PersonalLoanMinPayment,0)+IF($V$31&lt;=0,UsedAutoLoanMinPayment,0)+IF($AA$31&lt;=0,MedicalPlanMinPayment,0),2)</f>
        <v>688.0</v>
      </c>
      <c r="AE32" s="18" t="str">
        <f>IF($F$32&gt;0,Inputs!A6,IF($K$32&gt;0,Inputs!A7,IF($P$32&gt;0,Inputs!A8,IF($U$32&gt;0,Inputs!A9,IF($Z$32&gt;0,Inputs!A5,"")))))</f>
        <v>Used Auto Loan</v>
      </c>
      <c r="AF32" s="13">
        <f>ROUND(SUM($D$32,$I$32,$N$32,$S$32,$X$32),2)</f>
        <v>24.23</v>
      </c>
      <c r="AG32" s="13">
        <f>ROUND(SUM($G$32,$L$32,$Q$32,$V$32,$AA$32),2)</f>
        <v>3783.04</v>
      </c>
    </row>
    <row r="33" spans="1:33">
      <c r="A33" s="17">
        <f>ROW()-3</f>
        <v>29</v>
      </c>
      <c r="B33" s="18" t="str">
        <f>TEXT(EDATE(StartDate,A33-1),"mmm yyyy")</f>
        <v>Aug 2028</v>
      </c>
      <c r="C33" s="13">
        <f>$G$32</f>
        <v>0.0</v>
      </c>
      <c r="D33" s="13">
        <f>ROUND(IF($C$33&lt;=0,0,$C$33*StoreCardAPR/12),2)</f>
        <v>0.0</v>
      </c>
      <c r="E33" s="13">
        <f>ROUND(IF($C$33&lt;=0,0,MIN(StoreCardMinPayment,$C$33+$D$33)),2)</f>
        <v>0.0</v>
      </c>
      <c r="F33" s="13">
        <f>ROUND(IF($C$33&lt;=0,0,MIN(MAX(0,$C$33+$D$33-$E$33),MAX(0,$AD$33))),2)</f>
        <v>0.0</v>
      </c>
      <c r="G33" s="13">
        <f>ROUND(MAX(0,$C$33+$D$33-$E$33-$F$33),2)</f>
        <v>0.0</v>
      </c>
      <c r="H33" s="13">
        <f>$L$32</f>
        <v>0.0</v>
      </c>
      <c r="I33" s="13">
        <f>ROUND(IF($H$33&lt;=0,0,$H$33*CreditUnionVisaAPR/12),2)</f>
        <v>0.0</v>
      </c>
      <c r="J33" s="13">
        <f>ROUND(IF($H$33&lt;=0,0,MIN(CreditUnionVisaMinPayment,$H$33+$I$33)),2)</f>
        <v>0.0</v>
      </c>
      <c r="K33" s="13">
        <f>ROUND(IF($H$33&lt;=0,0,MIN(MAX(0,$H$33+$I$33-$J$33),MAX(0,$AD$33-$F$33))),2)</f>
        <v>0.0</v>
      </c>
      <c r="L33" s="13">
        <f>ROUND(MAX(0,$H$33+$I$33-$J$33-$K$33),2)</f>
        <v>0.0</v>
      </c>
      <c r="M33" s="13">
        <f>$Q$32</f>
        <v>0.0</v>
      </c>
      <c r="N33" s="13">
        <f>ROUND(IF($M$33&lt;=0,0,$M$33*PersonalLoanAPR/12),2)</f>
        <v>0.0</v>
      </c>
      <c r="O33" s="13">
        <f>ROUND(IF($M$33&lt;=0,0,MIN(PersonalLoanMinPayment,$M$33+$N$33)),2)</f>
        <v>0.0</v>
      </c>
      <c r="P33" s="13">
        <f>ROUND(IF($M$33&lt;=0,0,MIN(MAX(0,$M$33+$N$33-$O$33),MAX(0,$AD$33-$F$33-$K$33))),2)</f>
        <v>0.0</v>
      </c>
      <c r="Q33" s="13">
        <f>ROUND(MAX(0,$M$33+$N$33-$O$33-$P$33),2)</f>
        <v>0.0</v>
      </c>
      <c r="R33" s="13">
        <f>$V$32</f>
        <v>3783.04</v>
      </c>
      <c r="S33" s="13">
        <f>ROUND(IF($R$33&lt;=0,0,$R$33*UsedAutoLoanAPR/12),2)</f>
        <v>19.67</v>
      </c>
      <c r="T33" s="13">
        <f>ROUND(IF($R$33&lt;=0,0,MIN(UsedAutoLoanMinPayment,$R$33+$S$33)),2)</f>
        <v>212.0</v>
      </c>
      <c r="U33" s="13">
        <f>ROUND(IF($R$33&lt;=0,0,MIN(MAX(0,$R$33+$S$33-$T$33),MAX(0,$AD$33-$F$33-$K$33-$P$33))),2)</f>
        <v>688.0</v>
      </c>
      <c r="V33" s="13">
        <f>ROUND(MAX(0,$R$33+$S$33-$T$33-$U$33),2)</f>
        <v>2902.71</v>
      </c>
      <c r="W33" s="13">
        <f>$AA$32</f>
        <v>0.0</v>
      </c>
      <c r="X33" s="13">
        <f>ROUND(IF($W$33&lt;=0,0,$W$33*MedicalPlanAPR/12),2)</f>
        <v>0.0</v>
      </c>
      <c r="Y33" s="13">
        <f>ROUND(IF($W$33&lt;=0,0,MIN(MedicalPlanMinPayment,$W$33+$X$33)),2)</f>
        <v>0.0</v>
      </c>
      <c r="Z33" s="13">
        <f>ROUND(IF($W$33&lt;=0,0,MIN(MAX(0,$W$33+$X$33-$Y$33),MAX(0,$AD$33-$F$33-$K$33-$P$33-$U$33))),2)</f>
        <v>0.0</v>
      </c>
      <c r="AA33" s="13">
        <f>ROUND(MAX(0,$W$33+$X$33-$Y$33-$Z$33),2)</f>
        <v>0.0</v>
      </c>
      <c r="AB33" s="13">
        <f>ROUND(LateWindfallBaseExtra+LateWindfallPermanentLift+IF(A33&lt;=LateWindfallTempMonths,LateWindfallTempBoost,0),2)</f>
        <v>190.0</v>
      </c>
      <c r="AC33" s="13">
        <f>IF(A33=LateWindfallWindfallMonth,LateWindfallWindfall,0)</f>
        <v>0.0</v>
      </c>
      <c r="AD33" s="13">
        <f>ROUND($AB$33+$AC$33+IF($G$32&lt;=0,StoreCardMinPayment,0)+IF($L$32&lt;=0,CreditUnionVisaMinPayment,0)+IF($Q$32&lt;=0,PersonalLoanMinPayment,0)+IF($V$32&lt;=0,UsedAutoLoanMinPayment,0)+IF($AA$32&lt;=0,MedicalPlanMinPayment,0),2)</f>
        <v>688.0</v>
      </c>
      <c r="AE33" s="18" t="str">
        <f>IF($F$33&gt;0,Inputs!A6,IF($K$33&gt;0,Inputs!A7,IF($P$33&gt;0,Inputs!A8,IF($U$33&gt;0,Inputs!A9,IF($Z$33&gt;0,Inputs!A5,"")))))</f>
        <v>Used Auto Loan</v>
      </c>
      <c r="AF33" s="13">
        <f>ROUND(SUM($D$33,$I$33,$N$33,$S$33,$X$33),2)</f>
        <v>19.67</v>
      </c>
      <c r="AG33" s="13">
        <f>ROUND(SUM($G$33,$L$33,$Q$33,$V$33,$AA$33),2)</f>
        <v>2902.71</v>
      </c>
    </row>
    <row r="34" spans="1:33">
      <c r="A34" s="17">
        <f>ROW()-3</f>
        <v>30</v>
      </c>
      <c r="B34" s="18" t="str">
        <f>TEXT(EDATE(StartDate,A34-1),"mmm yyyy")</f>
        <v>Sep 2028</v>
      </c>
      <c r="C34" s="13">
        <f>$G$33</f>
        <v>0.0</v>
      </c>
      <c r="D34" s="13">
        <f>ROUND(IF($C$34&lt;=0,0,$C$34*StoreCardAPR/12),2)</f>
        <v>0.0</v>
      </c>
      <c r="E34" s="13">
        <f>ROUND(IF($C$34&lt;=0,0,MIN(StoreCardMinPayment,$C$34+$D$34)),2)</f>
        <v>0.0</v>
      </c>
      <c r="F34" s="13">
        <f>ROUND(IF($C$34&lt;=0,0,MIN(MAX(0,$C$34+$D$34-$E$34),MAX(0,$AD$34))),2)</f>
        <v>0.0</v>
      </c>
      <c r="G34" s="13">
        <f>ROUND(MAX(0,$C$34+$D$34-$E$34-$F$34),2)</f>
        <v>0.0</v>
      </c>
      <c r="H34" s="13">
        <f>$L$33</f>
        <v>0.0</v>
      </c>
      <c r="I34" s="13">
        <f>ROUND(IF($H$34&lt;=0,0,$H$34*CreditUnionVisaAPR/12),2)</f>
        <v>0.0</v>
      </c>
      <c r="J34" s="13">
        <f>ROUND(IF($H$34&lt;=0,0,MIN(CreditUnionVisaMinPayment,$H$34+$I$34)),2)</f>
        <v>0.0</v>
      </c>
      <c r="K34" s="13">
        <f>ROUND(IF($H$34&lt;=0,0,MIN(MAX(0,$H$34+$I$34-$J$34),MAX(0,$AD$34-$F$34))),2)</f>
        <v>0.0</v>
      </c>
      <c r="L34" s="13">
        <f>ROUND(MAX(0,$H$34+$I$34-$J$34-$K$34),2)</f>
        <v>0.0</v>
      </c>
      <c r="M34" s="13">
        <f>$Q$33</f>
        <v>0.0</v>
      </c>
      <c r="N34" s="13">
        <f>ROUND(IF($M$34&lt;=0,0,$M$34*PersonalLoanAPR/12),2)</f>
        <v>0.0</v>
      </c>
      <c r="O34" s="13">
        <f>ROUND(IF($M$34&lt;=0,0,MIN(PersonalLoanMinPayment,$M$34+$N$34)),2)</f>
        <v>0.0</v>
      </c>
      <c r="P34" s="13">
        <f>ROUND(IF($M$34&lt;=0,0,MIN(MAX(0,$M$34+$N$34-$O$34),MAX(0,$AD$34-$F$34-$K$34))),2)</f>
        <v>0.0</v>
      </c>
      <c r="Q34" s="13">
        <f>ROUND(MAX(0,$M$34+$N$34-$O$34-$P$34),2)</f>
        <v>0.0</v>
      </c>
      <c r="R34" s="13">
        <f>$V$33</f>
        <v>2902.71</v>
      </c>
      <c r="S34" s="13">
        <f>ROUND(IF($R$34&lt;=0,0,$R$34*UsedAutoLoanAPR/12),2)</f>
        <v>15.09</v>
      </c>
      <c r="T34" s="13">
        <f>ROUND(IF($R$34&lt;=0,0,MIN(UsedAutoLoanMinPayment,$R$34+$S$34)),2)</f>
        <v>212.0</v>
      </c>
      <c r="U34" s="13">
        <f>ROUND(IF($R$34&lt;=0,0,MIN(MAX(0,$R$34+$S$34-$T$34),MAX(0,$AD$34-$F$34-$K$34-$P$34))),2)</f>
        <v>688.0</v>
      </c>
      <c r="V34" s="13">
        <f>ROUND(MAX(0,$R$34+$S$34-$T$34-$U$34),2)</f>
        <v>2017.8</v>
      </c>
      <c r="W34" s="13">
        <f>$AA$33</f>
        <v>0.0</v>
      </c>
      <c r="X34" s="13">
        <f>ROUND(IF($W$34&lt;=0,0,$W$34*MedicalPlanAPR/12),2)</f>
        <v>0.0</v>
      </c>
      <c r="Y34" s="13">
        <f>ROUND(IF($W$34&lt;=0,0,MIN(MedicalPlanMinPayment,$W$34+$X$34)),2)</f>
        <v>0.0</v>
      </c>
      <c r="Z34" s="13">
        <f>ROUND(IF($W$34&lt;=0,0,MIN(MAX(0,$W$34+$X$34-$Y$34),MAX(0,$AD$34-$F$34-$K$34-$P$34-$U$34))),2)</f>
        <v>0.0</v>
      </c>
      <c r="AA34" s="13">
        <f>ROUND(MAX(0,$W$34+$X$34-$Y$34-$Z$34),2)</f>
        <v>0.0</v>
      </c>
      <c r="AB34" s="13">
        <f>ROUND(LateWindfallBaseExtra+LateWindfallPermanentLift+IF(A34&lt;=LateWindfallTempMonths,LateWindfallTempBoost,0),2)</f>
        <v>190.0</v>
      </c>
      <c r="AC34" s="13">
        <f>IF(A34=LateWindfallWindfallMonth,LateWindfallWindfall,0)</f>
        <v>0.0</v>
      </c>
      <c r="AD34" s="13">
        <f>ROUND($AB$34+$AC$34+IF($G$33&lt;=0,StoreCardMinPayment,0)+IF($L$33&lt;=0,CreditUnionVisaMinPayment,0)+IF($Q$33&lt;=0,PersonalLoanMinPayment,0)+IF($V$33&lt;=0,UsedAutoLoanMinPayment,0)+IF($AA$33&lt;=0,MedicalPlanMinPayment,0),2)</f>
        <v>688.0</v>
      </c>
      <c r="AE34" s="18" t="str">
        <f>IF($F$34&gt;0,Inputs!A6,IF($K$34&gt;0,Inputs!A7,IF($P$34&gt;0,Inputs!A8,IF($U$34&gt;0,Inputs!A9,IF($Z$34&gt;0,Inputs!A5,"")))))</f>
        <v>Used Auto Loan</v>
      </c>
      <c r="AF34" s="13">
        <f>ROUND(SUM($D$34,$I$34,$N$34,$S$34,$X$34),2)</f>
        <v>15.09</v>
      </c>
      <c r="AG34" s="13">
        <f>ROUND(SUM($G$34,$L$34,$Q$34,$V$34,$AA$34),2)</f>
        <v>2017.8</v>
      </c>
    </row>
    <row r="35" spans="1:33">
      <c r="A35" s="17">
        <f>ROW()-3</f>
        <v>31</v>
      </c>
      <c r="B35" s="18" t="str">
        <f>TEXT(EDATE(StartDate,A35-1),"mmm yyyy")</f>
        <v>Oct 2028</v>
      </c>
      <c r="C35" s="13">
        <f>$G$34</f>
        <v>0.0</v>
      </c>
      <c r="D35" s="13">
        <f>ROUND(IF($C$35&lt;=0,0,$C$35*StoreCardAPR/12),2)</f>
        <v>0.0</v>
      </c>
      <c r="E35" s="13">
        <f>ROUND(IF($C$35&lt;=0,0,MIN(StoreCardMinPayment,$C$35+$D$35)),2)</f>
        <v>0.0</v>
      </c>
      <c r="F35" s="13">
        <f>ROUND(IF($C$35&lt;=0,0,MIN(MAX(0,$C$35+$D$35-$E$35),MAX(0,$AD$35))),2)</f>
        <v>0.0</v>
      </c>
      <c r="G35" s="13">
        <f>ROUND(MAX(0,$C$35+$D$35-$E$35-$F$35),2)</f>
        <v>0.0</v>
      </c>
      <c r="H35" s="13">
        <f>$L$34</f>
        <v>0.0</v>
      </c>
      <c r="I35" s="13">
        <f>ROUND(IF($H$35&lt;=0,0,$H$35*CreditUnionVisaAPR/12),2)</f>
        <v>0.0</v>
      </c>
      <c r="J35" s="13">
        <f>ROUND(IF($H$35&lt;=0,0,MIN(CreditUnionVisaMinPayment,$H$35+$I$35)),2)</f>
        <v>0.0</v>
      </c>
      <c r="K35" s="13">
        <f>ROUND(IF($H$35&lt;=0,0,MIN(MAX(0,$H$35+$I$35-$J$35),MAX(0,$AD$35-$F$35))),2)</f>
        <v>0.0</v>
      </c>
      <c r="L35" s="13">
        <f>ROUND(MAX(0,$H$35+$I$35-$J$35-$K$35),2)</f>
        <v>0.0</v>
      </c>
      <c r="M35" s="13">
        <f>$Q$34</f>
        <v>0.0</v>
      </c>
      <c r="N35" s="13">
        <f>ROUND(IF($M$35&lt;=0,0,$M$35*PersonalLoanAPR/12),2)</f>
        <v>0.0</v>
      </c>
      <c r="O35" s="13">
        <f>ROUND(IF($M$35&lt;=0,0,MIN(PersonalLoanMinPayment,$M$35+$N$35)),2)</f>
        <v>0.0</v>
      </c>
      <c r="P35" s="13">
        <f>ROUND(IF($M$35&lt;=0,0,MIN(MAX(0,$M$35+$N$35-$O$35),MAX(0,$AD$35-$F$35-$K$35))),2)</f>
        <v>0.0</v>
      </c>
      <c r="Q35" s="13">
        <f>ROUND(MAX(0,$M$35+$N$35-$O$35-$P$35),2)</f>
        <v>0.0</v>
      </c>
      <c r="R35" s="13">
        <f>$V$34</f>
        <v>2017.8</v>
      </c>
      <c r="S35" s="13">
        <f>ROUND(IF($R$35&lt;=0,0,$R$35*UsedAutoLoanAPR/12),2)</f>
        <v>10.49</v>
      </c>
      <c r="T35" s="13">
        <f>ROUND(IF($R$35&lt;=0,0,MIN(UsedAutoLoanMinPayment,$R$35+$S$35)),2)</f>
        <v>212.0</v>
      </c>
      <c r="U35" s="13">
        <f>ROUND(IF($R$35&lt;=0,0,MIN(MAX(0,$R$35+$S$35-$T$35),MAX(0,$AD$35-$F$35-$K$35-$P$35))),2)</f>
        <v>688.0</v>
      </c>
      <c r="V35" s="13">
        <f>ROUND(MAX(0,$R$35+$S$35-$T$35-$U$35),2)</f>
        <v>1128.29</v>
      </c>
      <c r="W35" s="13">
        <f>$AA$34</f>
        <v>0.0</v>
      </c>
      <c r="X35" s="13">
        <f>ROUND(IF($W$35&lt;=0,0,$W$35*MedicalPlanAPR/12),2)</f>
        <v>0.0</v>
      </c>
      <c r="Y35" s="13">
        <f>ROUND(IF($W$35&lt;=0,0,MIN(MedicalPlanMinPayment,$W$35+$X$35)),2)</f>
        <v>0.0</v>
      </c>
      <c r="Z35" s="13">
        <f>ROUND(IF($W$35&lt;=0,0,MIN(MAX(0,$W$35+$X$35-$Y$35),MAX(0,$AD$35-$F$35-$K$35-$P$35-$U$35))),2)</f>
        <v>0.0</v>
      </c>
      <c r="AA35" s="13">
        <f>ROUND(MAX(0,$W$35+$X$35-$Y$35-$Z$35),2)</f>
        <v>0.0</v>
      </c>
      <c r="AB35" s="13">
        <f>ROUND(LateWindfallBaseExtra+LateWindfallPermanentLift+IF(A35&lt;=LateWindfallTempMonths,LateWindfallTempBoost,0),2)</f>
        <v>190.0</v>
      </c>
      <c r="AC35" s="13">
        <f>IF(A35=LateWindfallWindfallMonth,LateWindfallWindfall,0)</f>
        <v>0.0</v>
      </c>
      <c r="AD35" s="13">
        <f>ROUND($AB$35+$AC$35+IF($G$34&lt;=0,StoreCardMinPayment,0)+IF($L$34&lt;=0,CreditUnionVisaMinPayment,0)+IF($Q$34&lt;=0,PersonalLoanMinPayment,0)+IF($V$34&lt;=0,UsedAutoLoanMinPayment,0)+IF($AA$34&lt;=0,MedicalPlanMinPayment,0),2)</f>
        <v>688.0</v>
      </c>
      <c r="AE35" s="18" t="str">
        <f>IF($F$35&gt;0,Inputs!A6,IF($K$35&gt;0,Inputs!A7,IF($P$35&gt;0,Inputs!A8,IF($U$35&gt;0,Inputs!A9,IF($Z$35&gt;0,Inputs!A5,"")))))</f>
        <v>Used Auto Loan</v>
      </c>
      <c r="AF35" s="13">
        <f>ROUND(SUM($D$35,$I$35,$N$35,$S$35,$X$35),2)</f>
        <v>10.49</v>
      </c>
      <c r="AG35" s="13">
        <f>ROUND(SUM($G$35,$L$35,$Q$35,$V$35,$AA$35),2)</f>
        <v>1128.29</v>
      </c>
    </row>
    <row r="36" spans="1:33">
      <c r="A36" s="17">
        <f>ROW()-3</f>
        <v>32</v>
      </c>
      <c r="B36" s="18" t="str">
        <f>TEXT(EDATE(StartDate,A36-1),"mmm yyyy")</f>
        <v>Nov 2028</v>
      </c>
      <c r="C36" s="13">
        <f>$G$35</f>
        <v>0.0</v>
      </c>
      <c r="D36" s="13">
        <f>ROUND(IF($C$36&lt;=0,0,$C$36*StoreCardAPR/12),2)</f>
        <v>0.0</v>
      </c>
      <c r="E36" s="13">
        <f>ROUND(IF($C$36&lt;=0,0,MIN(StoreCardMinPayment,$C$36+$D$36)),2)</f>
        <v>0.0</v>
      </c>
      <c r="F36" s="13">
        <f>ROUND(IF($C$36&lt;=0,0,MIN(MAX(0,$C$36+$D$36-$E$36),MAX(0,$AD$36))),2)</f>
        <v>0.0</v>
      </c>
      <c r="G36" s="13">
        <f>ROUND(MAX(0,$C$36+$D$36-$E$36-$F$36),2)</f>
        <v>0.0</v>
      </c>
      <c r="H36" s="13">
        <f>$L$35</f>
        <v>0.0</v>
      </c>
      <c r="I36" s="13">
        <f>ROUND(IF($H$36&lt;=0,0,$H$36*CreditUnionVisaAPR/12),2)</f>
        <v>0.0</v>
      </c>
      <c r="J36" s="13">
        <f>ROUND(IF($H$36&lt;=0,0,MIN(CreditUnionVisaMinPayment,$H$36+$I$36)),2)</f>
        <v>0.0</v>
      </c>
      <c r="K36" s="13">
        <f>ROUND(IF($H$36&lt;=0,0,MIN(MAX(0,$H$36+$I$36-$J$36),MAX(0,$AD$36-$F$36))),2)</f>
        <v>0.0</v>
      </c>
      <c r="L36" s="13">
        <f>ROUND(MAX(0,$H$36+$I$36-$J$36-$K$36),2)</f>
        <v>0.0</v>
      </c>
      <c r="M36" s="13">
        <f>$Q$35</f>
        <v>0.0</v>
      </c>
      <c r="N36" s="13">
        <f>ROUND(IF($M$36&lt;=0,0,$M$36*PersonalLoanAPR/12),2)</f>
        <v>0.0</v>
      </c>
      <c r="O36" s="13">
        <f>ROUND(IF($M$36&lt;=0,0,MIN(PersonalLoanMinPayment,$M$36+$N$36)),2)</f>
        <v>0.0</v>
      </c>
      <c r="P36" s="13">
        <f>ROUND(IF($M$36&lt;=0,0,MIN(MAX(0,$M$36+$N$36-$O$36),MAX(0,$AD$36-$F$36-$K$36))),2)</f>
        <v>0.0</v>
      </c>
      <c r="Q36" s="13">
        <f>ROUND(MAX(0,$M$36+$N$36-$O$36-$P$36),2)</f>
        <v>0.0</v>
      </c>
      <c r="R36" s="13">
        <f>$V$35</f>
        <v>1128.29</v>
      </c>
      <c r="S36" s="13">
        <f>ROUND(IF($R$36&lt;=0,0,$R$36*UsedAutoLoanAPR/12),2)</f>
        <v>5.87</v>
      </c>
      <c r="T36" s="13">
        <f>ROUND(IF($R$36&lt;=0,0,MIN(UsedAutoLoanMinPayment,$R$36+$S$36)),2)</f>
        <v>212.0</v>
      </c>
      <c r="U36" s="13">
        <f>ROUND(IF($R$36&lt;=0,0,MIN(MAX(0,$R$36+$S$36-$T$36),MAX(0,$AD$36-$F$36-$K$36-$P$36))),2)</f>
        <v>688.0</v>
      </c>
      <c r="V36" s="13">
        <f>ROUND(MAX(0,$R$36+$S$36-$T$36-$U$36),2)</f>
        <v>234.16</v>
      </c>
      <c r="W36" s="13">
        <f>$AA$35</f>
        <v>0.0</v>
      </c>
      <c r="X36" s="13">
        <f>ROUND(IF($W$36&lt;=0,0,$W$36*MedicalPlanAPR/12),2)</f>
        <v>0.0</v>
      </c>
      <c r="Y36" s="13">
        <f>ROUND(IF($W$36&lt;=0,0,MIN(MedicalPlanMinPayment,$W$36+$X$36)),2)</f>
        <v>0.0</v>
      </c>
      <c r="Z36" s="13">
        <f>ROUND(IF($W$36&lt;=0,0,MIN(MAX(0,$W$36+$X$36-$Y$36),MAX(0,$AD$36-$F$36-$K$36-$P$36-$U$36))),2)</f>
        <v>0.0</v>
      </c>
      <c r="AA36" s="13">
        <f>ROUND(MAX(0,$W$36+$X$36-$Y$36-$Z$36),2)</f>
        <v>0.0</v>
      </c>
      <c r="AB36" s="13">
        <f>ROUND(LateWindfallBaseExtra+LateWindfallPermanentLift+IF(A36&lt;=LateWindfallTempMonths,LateWindfallTempBoost,0),2)</f>
        <v>190.0</v>
      </c>
      <c r="AC36" s="13">
        <f>IF(A36=LateWindfallWindfallMonth,LateWindfallWindfall,0)</f>
        <v>0.0</v>
      </c>
      <c r="AD36" s="13">
        <f>ROUND($AB$36+$AC$36+IF($G$35&lt;=0,StoreCardMinPayment,0)+IF($L$35&lt;=0,CreditUnionVisaMinPayment,0)+IF($Q$35&lt;=0,PersonalLoanMinPayment,0)+IF($V$35&lt;=0,UsedAutoLoanMinPayment,0)+IF($AA$35&lt;=0,MedicalPlanMinPayment,0),2)</f>
        <v>688.0</v>
      </c>
      <c r="AE36" s="18" t="str">
        <f>IF($F$36&gt;0,Inputs!A6,IF($K$36&gt;0,Inputs!A7,IF($P$36&gt;0,Inputs!A8,IF($U$36&gt;0,Inputs!A9,IF($Z$36&gt;0,Inputs!A5,"")))))</f>
        <v>Used Auto Loan</v>
      </c>
      <c r="AF36" s="13">
        <f>ROUND(SUM($D$36,$I$36,$N$36,$S$36,$X$36),2)</f>
        <v>5.87</v>
      </c>
      <c r="AG36" s="13">
        <f>ROUND(SUM($G$36,$L$36,$Q$36,$V$36,$AA$36),2)</f>
        <v>234.16</v>
      </c>
    </row>
    <row r="37" spans="1:33">
      <c r="A37" s="17">
        <f>ROW()-3</f>
        <v>33</v>
      </c>
      <c r="B37" s="18" t="str">
        <f>TEXT(EDATE(StartDate,A37-1),"mmm yyyy")</f>
        <v>Dec 2028</v>
      </c>
      <c r="C37" s="13">
        <f>$G$36</f>
        <v>0.0</v>
      </c>
      <c r="D37" s="13">
        <f>ROUND(IF($C$37&lt;=0,0,$C$37*StoreCardAPR/12),2)</f>
        <v>0.0</v>
      </c>
      <c r="E37" s="13">
        <f>ROUND(IF($C$37&lt;=0,0,MIN(StoreCardMinPayment,$C$37+$D$37)),2)</f>
        <v>0.0</v>
      </c>
      <c r="F37" s="13">
        <f>ROUND(IF($C$37&lt;=0,0,MIN(MAX(0,$C$37+$D$37-$E$37),MAX(0,$AD$37))),2)</f>
        <v>0.0</v>
      </c>
      <c r="G37" s="13">
        <f>ROUND(MAX(0,$C$37+$D$37-$E$37-$F$37),2)</f>
        <v>0.0</v>
      </c>
      <c r="H37" s="13">
        <f>$L$36</f>
        <v>0.0</v>
      </c>
      <c r="I37" s="13">
        <f>ROUND(IF($H$37&lt;=0,0,$H$37*CreditUnionVisaAPR/12),2)</f>
        <v>0.0</v>
      </c>
      <c r="J37" s="13">
        <f>ROUND(IF($H$37&lt;=0,0,MIN(CreditUnionVisaMinPayment,$H$37+$I$37)),2)</f>
        <v>0.0</v>
      </c>
      <c r="K37" s="13">
        <f>ROUND(IF($H$37&lt;=0,0,MIN(MAX(0,$H$37+$I$37-$J$37),MAX(0,$AD$37-$F$37))),2)</f>
        <v>0.0</v>
      </c>
      <c r="L37" s="13">
        <f>ROUND(MAX(0,$H$37+$I$37-$J$37-$K$37),2)</f>
        <v>0.0</v>
      </c>
      <c r="M37" s="13">
        <f>$Q$36</f>
        <v>0.0</v>
      </c>
      <c r="N37" s="13">
        <f>ROUND(IF($M$37&lt;=0,0,$M$37*PersonalLoanAPR/12),2)</f>
        <v>0.0</v>
      </c>
      <c r="O37" s="13">
        <f>ROUND(IF($M$37&lt;=0,0,MIN(PersonalLoanMinPayment,$M$37+$N$37)),2)</f>
        <v>0.0</v>
      </c>
      <c r="P37" s="13">
        <f>ROUND(IF($M$37&lt;=0,0,MIN(MAX(0,$M$37+$N$37-$O$37),MAX(0,$AD$37-$F$37-$K$37))),2)</f>
        <v>0.0</v>
      </c>
      <c r="Q37" s="13">
        <f>ROUND(MAX(0,$M$37+$N$37-$O$37-$P$37),2)</f>
        <v>0.0</v>
      </c>
      <c r="R37" s="13">
        <f>$V$36</f>
        <v>234.16</v>
      </c>
      <c r="S37" s="13">
        <f>ROUND(IF($R$37&lt;=0,0,$R$37*UsedAutoLoanAPR/12),2)</f>
        <v>1.22</v>
      </c>
      <c r="T37" s="13">
        <f>ROUND(IF($R$37&lt;=0,0,MIN(UsedAutoLoanMinPayment,$R$37+$S$37)),2)</f>
        <v>212.0</v>
      </c>
      <c r="U37" s="13">
        <f>ROUND(IF($R$37&lt;=0,0,MIN(MAX(0,$R$37+$S$37-$T$37),MAX(0,$AD$37-$F$37-$K$37-$P$37))),2)</f>
        <v>23.38</v>
      </c>
      <c r="V37" s="13">
        <f>ROUND(MAX(0,$R$37+$S$37-$T$37-$U$37),2)</f>
        <v>0.0</v>
      </c>
      <c r="W37" s="13">
        <f>$AA$36</f>
        <v>0.0</v>
      </c>
      <c r="X37" s="13">
        <f>ROUND(IF($W$37&lt;=0,0,$W$37*MedicalPlanAPR/12),2)</f>
        <v>0.0</v>
      </c>
      <c r="Y37" s="13">
        <f>ROUND(IF($W$37&lt;=0,0,MIN(MedicalPlanMinPayment,$W$37+$X$37)),2)</f>
        <v>0.0</v>
      </c>
      <c r="Z37" s="13">
        <f>ROUND(IF($W$37&lt;=0,0,MIN(MAX(0,$W$37+$X$37-$Y$37),MAX(0,$AD$37-$F$37-$K$37-$P$37-$U$37))),2)</f>
        <v>0.0</v>
      </c>
      <c r="AA37" s="13">
        <f>ROUND(MAX(0,$W$37+$X$37-$Y$37-$Z$37),2)</f>
        <v>0.0</v>
      </c>
      <c r="AB37" s="13">
        <f>ROUND(LateWindfallBaseExtra+LateWindfallPermanentLift+IF(A37&lt;=LateWindfallTempMonths,LateWindfallTempBoost,0),2)</f>
        <v>190.0</v>
      </c>
      <c r="AC37" s="13">
        <f>IF(A37=LateWindfallWindfallMonth,LateWindfallWindfall,0)</f>
        <v>0.0</v>
      </c>
      <c r="AD37" s="13">
        <f>ROUND($AB$37+$AC$37+IF($G$36&lt;=0,StoreCardMinPayment,0)+IF($L$36&lt;=0,CreditUnionVisaMinPayment,0)+IF($Q$36&lt;=0,PersonalLoanMinPayment,0)+IF($V$36&lt;=0,UsedAutoLoanMinPayment,0)+IF($AA$36&lt;=0,MedicalPlanMinPayment,0),2)</f>
        <v>688.0</v>
      </c>
      <c r="AE37" s="18" t="str">
        <f>IF($F$37&gt;0,Inputs!A6,IF($K$37&gt;0,Inputs!A7,IF($P$37&gt;0,Inputs!A8,IF($U$37&gt;0,Inputs!A9,IF($Z$37&gt;0,Inputs!A5,"")))))</f>
        <v>Used Auto Loan</v>
      </c>
      <c r="AF37" s="13">
        <f>ROUND(SUM($D$37,$I$37,$N$37,$S$37,$X$37),2)</f>
        <v>1.22</v>
      </c>
      <c r="AG37" s="13">
        <f>ROUND(SUM($G$37,$L$37,$Q$37,$V$37,$AA$37),2)</f>
        <v>0.0</v>
      </c>
    </row>
  </sheetData>
  <mergeCells count="8">
    <mergeCell ref="A1:AG1"/>
    <mergeCell ref="C3:G3"/>
    <mergeCell ref="H3:L3"/>
    <mergeCell ref="M3:Q3"/>
    <mergeCell ref="R3:V3"/>
    <mergeCell ref="W3:AA3"/>
    <mergeCell ref="A2:AG2"/>
    <mergeCell ref="A3:B3"/>
  </mergeCells>
  <pageMargins left="0.7" right="0.7" top="0.75" bottom="0.75" header="0.3" footer="0.3"/>
  <headerFooter>
    <oddFooter>&amp;LFast Payoff Windfall Timing&amp;CDebtPayoffSpreadsheet.org&amp;Rv1.0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M19"/>
  <sheetViews>
    <sheetView workbookViewId="0"/>
  </sheetViews>
  <sheetFormatPr defaultRowHeight="15"/>
  <cols>
    <col min="1" max="1" width="24.7109375" customWidth="1"/>
    <col min="2" max="6" width="16.7109375" customWidth="1"/>
    <col min="7" max="12" width="14.7109375" customWidth="1"/>
  </cols>
  <sheetData>
    <row r="1" spans="1:13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28" customHeight="1">
      <c r="A2" s="1" t="s">
        <v>75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5" spans="1:13">
      <c r="A5" s="7" t="s">
        <v>76</v>
      </c>
      <c r="B5" s="7" t="s">
        <v>56</v>
      </c>
      <c r="C5" s="7" t="s">
        <v>77</v>
      </c>
      <c r="D5" s="7" t="s">
        <v>78</v>
      </c>
    </row>
    <row r="6" spans="1:13">
      <c r="A6" s="14" t="s">
        <v>79</v>
      </c>
      <c r="B6" s="13">
        <f>TotalMinimums+NoWindfallBaseExtra</f>
        <v>900.0</v>
      </c>
      <c r="C6" s="13">
        <f>TotalMinimums+EarlyWindfallBaseExtra</f>
        <v>900.0</v>
      </c>
      <c r="D6" s="13">
        <f>TotalMinimums+LateWindfallBaseExtra</f>
        <v>900.0</v>
      </c>
    </row>
    <row r="7" spans="1:13">
      <c r="A7" s="14" t="s">
        <v>80</v>
      </c>
      <c r="B7" s="18" t="str">
        <f>TEXT(EDATE(StartDate,MATCH(0,'No_Windfall_Schedule'!AG5:AG39,0)-1),"mmmm yyyy")</f>
        <v>February 2029</v>
      </c>
      <c r="C7" s="18" t="str">
        <f>TEXT(EDATE(StartDate,MATCH(0,'Early_Windfall_Schedule'!AG5:AG36,0)-1),"mmmm yyyy")</f>
        <v>November 2028</v>
      </c>
      <c r="D7" s="18" t="str">
        <f>TEXT(EDATE(StartDate,MATCH(0,'Late_Windfall_Schedule'!AG5:AG37,0)-1),"mmmm yyyy")</f>
        <v>December 2028</v>
      </c>
    </row>
    <row r="8" spans="1:13">
      <c r="A8" s="14" t="s">
        <v>81</v>
      </c>
      <c r="B8" s="17">
        <f>MATCH(0,'No_Windfall_Schedule'!AG5:AG39,0)</f>
        <v>35</v>
      </c>
      <c r="C8" s="17">
        <f>MATCH(0,'Early_Windfall_Schedule'!AG5:AG36,0)</f>
        <v>32</v>
      </c>
      <c r="D8" s="17">
        <f>MATCH(0,'Late_Windfall_Schedule'!AG5:AG37,0)</f>
        <v>33</v>
      </c>
    </row>
    <row r="9" spans="1:13">
      <c r="A9" s="14" t="s">
        <v>82</v>
      </c>
      <c r="B9" s="13">
        <f>SUM('No_Windfall_Schedule'!$AF$5:$AF$39)</f>
        <v>5347.49</v>
      </c>
      <c r="C9" s="13">
        <f>SUM('Early_Windfall_Schedule'!$AF$5:$AF$36)</f>
        <v>4285.78</v>
      </c>
      <c r="D9" s="13">
        <f>SUM('Late_Windfall_Schedule'!$AF$5:$AF$37)</f>
        <v>4710.38</v>
      </c>
    </row>
    <row r="10" spans="1:13">
      <c r="A10" s="14" t="s">
        <v>83</v>
      </c>
      <c r="B10" s="18" t="str">
        <f>TEXT(EDATE(StartDate,MATCH(0,'No_Windfall_Schedule'!G5:G39,0)-1),"mmmm yyyy")</f>
        <v>April 2027</v>
      </c>
      <c r="C10" s="18" t="str">
        <f>TEXT(EDATE(StartDate,MATCH(0,'Early_Windfall_Schedule'!G5:G36,0)-1),"mmmm yyyy")</f>
        <v>September 2026</v>
      </c>
      <c r="D10" s="18" t="str">
        <f>TEXT(EDATE(StartDate,MATCH(0,'Late_Windfall_Schedule'!G5:G37,0)-1),"mmmm yyyy")</f>
        <v>March 2027</v>
      </c>
    </row>
    <row r="11" spans="1:13">
      <c r="A11" s="14" t="s">
        <v>84</v>
      </c>
      <c r="B11" s="18" t="str">
        <f>TEXT(EDATE(StartDate,MATCH(0,'No_Windfall_Schedule'!L5:L39,0)-1),"mmmm yyyy")</f>
        <v>June 2028</v>
      </c>
      <c r="C11" s="18" t="str">
        <f>TEXT(EDATE(StartDate,MATCH(0,'Early_Windfall_Schedule'!L5:L36,0)-1),"mmmm yyyy")</f>
        <v>December 2027</v>
      </c>
      <c r="D11" s="18" t="str">
        <f>TEXT(EDATE(StartDate,MATCH(0,'Late_Windfall_Schedule'!L5:L37,0)-1),"mmmm yyyy")</f>
        <v>January 2028</v>
      </c>
    </row>
    <row r="12" spans="1:13">
      <c r="A12" s="14" t="s">
        <v>85</v>
      </c>
      <c r="B12" s="13">
        <f>INDEX('No_Windfall_Schedule'!AG5:AG39,12)</f>
        <v>18287.92</v>
      </c>
      <c r="C12" s="13">
        <f>INDEX('Early_Windfall_Schedule'!AG5:AG36,12)</f>
        <v>16368.11</v>
      </c>
      <c r="D12" s="13">
        <f>INDEX('Late_Windfall_Schedule'!AG5:AG37,12)</f>
        <v>16687.92</v>
      </c>
    </row>
    <row r="14" spans="1:13">
      <c r="A14" s="2" t="s">
        <v>86</v>
      </c>
      <c r="B14" s="2"/>
    </row>
    <row r="15" spans="1:13">
      <c r="A15" s="14" t="s">
        <v>87</v>
      </c>
      <c r="B15" s="19" t="str">
        <f>"3 months"</f>
        <v>3 months</v>
      </c>
    </row>
    <row r="16" spans="1:13">
      <c r="A16" s="14" t="s">
        <v>88</v>
      </c>
      <c r="B16" s="19">
        <f>SUM('No_Windfall_Schedule'!$AF$5:$AF$39)-SUM('Early_Windfall_Schedule'!$AF$5:$AF$36)</f>
        <v>1061.71</v>
      </c>
    </row>
    <row r="17" spans="1:12">
      <c r="A17" s="14" t="s">
        <v>89</v>
      </c>
      <c r="B17" s="20" t="str">
        <f>"1 month"</f>
        <v>1 month</v>
      </c>
      <c r="H17" s="16" t="s">
        <v>92</v>
      </c>
      <c r="I17" s="16"/>
      <c r="J17" s="16"/>
      <c r="K17" s="16"/>
      <c r="L17" s="16"/>
    </row>
    <row r="18" spans="1:12">
      <c r="A18" s="14" t="s">
        <v>90</v>
      </c>
      <c r="B18" s="20">
        <f>SUM('Late_Windfall_Schedule'!$AF$5:$AF$37)-SUM('Early_Windfall_Schedule'!$AF$5:$AF$36)</f>
        <v>424.6</v>
      </c>
      <c r="H18" s="16"/>
      <c r="I18" s="16"/>
      <c r="J18" s="16"/>
      <c r="K18" s="16"/>
      <c r="L18" s="16"/>
    </row>
    <row r="19" spans="1:12">
      <c r="A19" s="14" t="s">
        <v>91</v>
      </c>
      <c r="B19" s="21" t="str">
        <f>"6 months"</f>
        <v>6 months</v>
      </c>
      <c r="H19" s="16"/>
      <c r="I19" s="16"/>
      <c r="J19" s="16"/>
      <c r="K19" s="16"/>
      <c r="L19" s="16"/>
    </row>
  </sheetData>
  <mergeCells count="4">
    <mergeCell ref="A1:M1"/>
    <mergeCell ref="A2:L2"/>
    <mergeCell ref="A14:B14"/>
    <mergeCell ref="H17:L19"/>
  </mergeCells>
  <pageMargins left="0.7" right="0.7" top="0.75" bottom="0.75" header="0.3" footer="0.3"/>
  <headerFooter>
    <oddFooter>&amp;LFast Payoff Windfall Timing&amp;CDebtPayoffSpreadsheet.org&amp;Rv1.0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B11"/>
  <sheetViews>
    <sheetView workbookViewId="0"/>
  </sheetViews>
  <sheetFormatPr defaultRowHeight="15"/>
  <cols>
    <col min="1" max="1" width="24.7109375" customWidth="1"/>
    <col min="2" max="2" width="88.7109375" customWidth="1"/>
  </cols>
  <sheetData>
    <row r="2" spans="1:2" ht="28" customHeight="1">
      <c r="A2" s="1" t="s">
        <v>93</v>
      </c>
      <c r="B2" s="1"/>
    </row>
    <row r="4" spans="1:2">
      <c r="A4" s="2" t="s">
        <v>94</v>
      </c>
      <c r="B4" s="22" t="s">
        <v>95</v>
      </c>
    </row>
    <row r="5" spans="1:2">
      <c r="B5" s="22" t="s">
        <v>96</v>
      </c>
    </row>
    <row r="7" spans="1:2">
      <c r="A7" s="2" t="s">
        <v>97</v>
      </c>
      <c r="B7" s="22" t="s">
        <v>98</v>
      </c>
    </row>
    <row r="8" spans="1:2">
      <c r="B8" s="22" t="s">
        <v>99</v>
      </c>
    </row>
    <row r="11" spans="1:2">
      <c r="A11" s="2" t="s">
        <v>100</v>
      </c>
      <c r="B11" s="5" t="s">
        <v>19</v>
      </c>
    </row>
  </sheetData>
  <sheetProtection sheet="1" objects="1" scenarios="1"/>
  <mergeCells count="1">
    <mergeCell ref="A2:B2"/>
  </mergeCells>
  <hyperlinks>
    <hyperlink ref="B11" r:id="rId1"/>
  </hyperlinks>
  <pageMargins left="0.7" right="0.7" top="0.75" bottom="0.75" header="0.3" footer="0.3"/>
  <headerFooter>
    <oddFooter>&amp;LFast Payoff Windfall Timing&amp;CDebtPayoffSpreadsheet.org&amp;Rv1.0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36</vt:i4>
      </vt:variant>
    </vt:vector>
  </HeadingPairs>
  <TitlesOfParts>
    <vt:vector size="43" baseType="lpstr">
      <vt:lpstr>Start_Here</vt:lpstr>
      <vt:lpstr>Inputs</vt:lpstr>
      <vt:lpstr>No_Windfall_Schedule</vt:lpstr>
      <vt:lpstr>Early_Windfall_Schedule</vt:lpstr>
      <vt:lpstr>Late_Windfall_Schedule</vt:lpstr>
      <vt:lpstr>Timing_Comparison</vt:lpstr>
      <vt:lpstr>Bonus_Tips</vt:lpstr>
      <vt:lpstr>CreditUnionVisaAPR</vt:lpstr>
      <vt:lpstr>CreditUnionVisaBalance</vt:lpstr>
      <vt:lpstr>CreditUnionVisaMinPayment</vt:lpstr>
      <vt:lpstr>EarlyWindfallBaseExtra</vt:lpstr>
      <vt:lpstr>EarlyWindfallPermanentLift</vt:lpstr>
      <vt:lpstr>EarlyWindfallTempBoost</vt:lpstr>
      <vt:lpstr>EarlyWindfallTempMonths</vt:lpstr>
      <vt:lpstr>EarlyWindfallWindfall</vt:lpstr>
      <vt:lpstr>EarlyWindfallWindfallMonth</vt:lpstr>
      <vt:lpstr>LateWindfallBaseExtra</vt:lpstr>
      <vt:lpstr>LateWindfallPermanentLift</vt:lpstr>
      <vt:lpstr>LateWindfallTempBoost</vt:lpstr>
      <vt:lpstr>LateWindfallTempMonths</vt:lpstr>
      <vt:lpstr>LateWindfallWindfall</vt:lpstr>
      <vt:lpstr>LateWindfallWindfallMonth</vt:lpstr>
      <vt:lpstr>MedicalPlanAPR</vt:lpstr>
      <vt:lpstr>MedicalPlanBalance</vt:lpstr>
      <vt:lpstr>MedicalPlanMinPayment</vt:lpstr>
      <vt:lpstr>NoWindfallBaseExtra</vt:lpstr>
      <vt:lpstr>NoWindfallPermanentLift</vt:lpstr>
      <vt:lpstr>NoWindfallTempBoost</vt:lpstr>
      <vt:lpstr>NoWindfallTempMonths</vt:lpstr>
      <vt:lpstr>NoWindfallWindfall</vt:lpstr>
      <vt:lpstr>NoWindfallWindfallMonth</vt:lpstr>
      <vt:lpstr>PersonalLoanAPR</vt:lpstr>
      <vt:lpstr>PersonalLoanBalance</vt:lpstr>
      <vt:lpstr>PersonalLoanMinPayment</vt:lpstr>
      <vt:lpstr>StartDate</vt:lpstr>
      <vt:lpstr>StoreCardAPR</vt:lpstr>
      <vt:lpstr>StoreCardBalance</vt:lpstr>
      <vt:lpstr>StoreCardMinPayment</vt:lpstr>
      <vt:lpstr>TotalDebt</vt:lpstr>
      <vt:lpstr>TotalMinimums</vt:lpstr>
      <vt:lpstr>UsedAutoLoanAPR</vt:lpstr>
      <vt:lpstr>UsedAutoLoanBalance</vt:lpstr>
      <vt:lpstr>UsedAutoLoanMinPayment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2026-03-09T07:15:23Z</dcterms:created>
  <dcterms:modified xsi:type="dcterms:W3CDTF">2026-03-09T07:15:23Z</dcterms:modified>
</cp:coreProperties>
</file>